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6. 28 ก.พ. 66\"/>
    </mc:Choice>
  </mc:AlternateContent>
  <xr:revisionPtr revIDLastSave="0" documentId="13_ncr:1_{D9240A2F-5E3D-4026-8B9F-1EAC4F4480E9}" xr6:coauthVersionLast="37" xr6:coauthVersionMax="37" xr10:uidLastSave="{00000000-0000-0000-0000-000000000000}"/>
  <bookViews>
    <workbookView xWindow="0" yWindow="0" windowWidth="24000" windowHeight="8880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Area" localSheetId="1">กำแพงเพชร!$A$1:$P$828</definedName>
    <definedName name="_xlnm.Print_Area" localSheetId="2">เชียงราย!$A$1:$P$828</definedName>
    <definedName name="_xlnm.Print_Area" localSheetId="3">เชียงใหม่!$A$1:$P$828</definedName>
    <definedName name="_xlnm.Print_Area" localSheetId="4">ตาก!$A$1:$P$828</definedName>
    <definedName name="_xlnm.Print_Area" localSheetId="5">นครสวรรค์!$A$1:$P$828</definedName>
    <definedName name="_xlnm.Print_Area" localSheetId="6">น่าน!$A$1:$P$828</definedName>
    <definedName name="_xlnm.Print_Area" localSheetId="7">พะเยา!$A$1:$P$828</definedName>
    <definedName name="_xlnm.Print_Area" localSheetId="8">พิจิตร!$A$1:$P$828</definedName>
    <definedName name="_xlnm.Print_Area" localSheetId="9">พิษณุโลก!$A$1:$P$828</definedName>
    <definedName name="_xlnm.Print_Area" localSheetId="10">เพชรบูรณ์!$A$1:$P$828</definedName>
    <definedName name="_xlnm.Print_Area" localSheetId="11">แพร่!$A$1:$P$828</definedName>
    <definedName name="_xlnm.Print_Area" localSheetId="12">แม่ฮ่องสอน!$A$1:$P$828</definedName>
    <definedName name="_xlnm.Print_Area" localSheetId="0">รวมเหนือ!$A$1:$P$828</definedName>
    <definedName name="_xlnm.Print_Area" localSheetId="13">ลำปาง!$A$1:$P$828</definedName>
    <definedName name="_xlnm.Print_Area" localSheetId="14">ลำพูน!$A$1:$P$828</definedName>
    <definedName name="_xlnm.Print_Area" localSheetId="15">สุโขทัย!$A$1:$P$828</definedName>
    <definedName name="_xlnm.Print_Area" localSheetId="16">อุตรดิตถ์!$A$1:$P$828</definedName>
    <definedName name="_xlnm.Print_Area" localSheetId="17">อุทัยธานี!$A$1:$P$828</definedName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L353" i="15" l="1"/>
  <c r="J828" i="18"/>
  <c r="I828" i="18"/>
  <c r="J827" i="18"/>
  <c r="I827" i="18"/>
  <c r="J826" i="18"/>
  <c r="I826" i="18"/>
  <c r="J825" i="18"/>
  <c r="I825" i="18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N815" i="18"/>
  <c r="M815" i="18"/>
  <c r="P815" i="18" s="1"/>
  <c r="L815" i="18"/>
  <c r="O815" i="18" s="1"/>
  <c r="P810" i="18"/>
  <c r="O810" i="18"/>
  <c r="N810" i="18"/>
  <c r="N808" i="18" s="1"/>
  <c r="P809" i="18"/>
  <c r="O809" i="18"/>
  <c r="P808" i="18"/>
  <c r="O808" i="18"/>
  <c r="M808" i="18"/>
  <c r="L808" i="18"/>
  <c r="P807" i="18"/>
  <c r="O807" i="18"/>
  <c r="N807" i="18"/>
  <c r="N805" i="18" s="1"/>
  <c r="M807" i="18"/>
  <c r="L807" i="18"/>
  <c r="O806" i="18"/>
  <c r="N806" i="18"/>
  <c r="M806" i="18"/>
  <c r="P806" i="18" s="1"/>
  <c r="L806" i="18"/>
  <c r="L805" i="18"/>
  <c r="O805" i="18" s="1"/>
  <c r="K804" i="18"/>
  <c r="J804" i="18"/>
  <c r="K802" i="18"/>
  <c r="J801" i="18"/>
  <c r="J800" i="18"/>
  <c r="J785" i="18" s="1"/>
  <c r="I800" i="18"/>
  <c r="I785" i="18" s="1"/>
  <c r="K785" i="18" s="1"/>
  <c r="P798" i="18"/>
  <c r="O798" i="18"/>
  <c r="P797" i="18"/>
  <c r="O797" i="18"/>
  <c r="N796" i="18"/>
  <c r="M796" i="18"/>
  <c r="P796" i="18" s="1"/>
  <c r="L796" i="18"/>
  <c r="O796" i="18" s="1"/>
  <c r="P791" i="18"/>
  <c r="N791" i="18"/>
  <c r="L791" i="18"/>
  <c r="O791" i="18" s="1"/>
  <c r="P790" i="18"/>
  <c r="O790" i="18"/>
  <c r="P789" i="18"/>
  <c r="N789" i="18"/>
  <c r="M789" i="18"/>
  <c r="L789" i="18"/>
  <c r="O789" i="18" s="1"/>
  <c r="P788" i="18"/>
  <c r="N788" i="18"/>
  <c r="N786" i="18" s="1"/>
  <c r="M788" i="18"/>
  <c r="O787" i="18"/>
  <c r="N787" i="18"/>
  <c r="M787" i="18"/>
  <c r="P787" i="18" s="1"/>
  <c r="L787" i="18"/>
  <c r="P782" i="18"/>
  <c r="O782" i="18"/>
  <c r="P781" i="18"/>
  <c r="O781" i="18"/>
  <c r="N780" i="18"/>
  <c r="M780" i="18"/>
  <c r="P780" i="18" s="1"/>
  <c r="L780" i="18"/>
  <c r="O780" i="18" s="1"/>
  <c r="P775" i="18"/>
  <c r="O775" i="18"/>
  <c r="N775" i="18"/>
  <c r="N773" i="18" s="1"/>
  <c r="P774" i="18"/>
  <c r="O774" i="18"/>
  <c r="M773" i="18"/>
  <c r="P773" i="18" s="1"/>
  <c r="L773" i="18"/>
  <c r="O773" i="18" s="1"/>
  <c r="P772" i="18"/>
  <c r="M772" i="18"/>
  <c r="L772" i="18"/>
  <c r="O772" i="18" s="1"/>
  <c r="P771" i="18"/>
  <c r="O771" i="18"/>
  <c r="N771" i="18"/>
  <c r="M771" i="18"/>
  <c r="L771" i="18"/>
  <c r="L770" i="18" s="1"/>
  <c r="O770" i="18" s="1"/>
  <c r="P770" i="18"/>
  <c r="M770" i="18"/>
  <c r="K769" i="18"/>
  <c r="J769" i="18"/>
  <c r="P766" i="18"/>
  <c r="O766" i="18"/>
  <c r="P765" i="18"/>
  <c r="O765" i="18"/>
  <c r="O764" i="18"/>
  <c r="N764" i="18"/>
  <c r="M764" i="18"/>
  <c r="P764" i="18" s="1"/>
  <c r="L764" i="18"/>
  <c r="P759" i="18"/>
  <c r="O759" i="18"/>
  <c r="N759" i="18"/>
  <c r="N757" i="18" s="1"/>
  <c r="P758" i="18"/>
  <c r="O758" i="18"/>
  <c r="M757" i="18"/>
  <c r="P757" i="18" s="1"/>
  <c r="L757" i="18"/>
  <c r="O757" i="18" s="1"/>
  <c r="P756" i="18"/>
  <c r="M756" i="18"/>
  <c r="L756" i="18"/>
  <c r="O756" i="18" s="1"/>
  <c r="P755" i="18"/>
  <c r="O755" i="18"/>
  <c r="N755" i="18"/>
  <c r="M755" i="18"/>
  <c r="L755" i="18"/>
  <c r="L754" i="18" s="1"/>
  <c r="O754" i="18" s="1"/>
  <c r="P754" i="18"/>
  <c r="M754" i="18"/>
  <c r="K753" i="18"/>
  <c r="J753" i="18"/>
  <c r="P749" i="18"/>
  <c r="O749" i="18"/>
  <c r="P748" i="18"/>
  <c r="O748" i="18"/>
  <c r="O747" i="18"/>
  <c r="N747" i="18"/>
  <c r="M747" i="18"/>
  <c r="P747" i="18" s="1"/>
  <c r="L747" i="18"/>
  <c r="P742" i="18"/>
  <c r="O742" i="18"/>
  <c r="N742" i="18"/>
  <c r="N740" i="18" s="1"/>
  <c r="P741" i="18"/>
  <c r="O741" i="18"/>
  <c r="M740" i="18"/>
  <c r="P740" i="18" s="1"/>
  <c r="L740" i="18"/>
  <c r="O740" i="18" s="1"/>
  <c r="P739" i="18"/>
  <c r="M739" i="18"/>
  <c r="L739" i="18"/>
  <c r="O739" i="18" s="1"/>
  <c r="P738" i="18"/>
  <c r="O738" i="18"/>
  <c r="N738" i="18"/>
  <c r="M738" i="18"/>
  <c r="L738" i="18"/>
  <c r="L737" i="18" s="1"/>
  <c r="O737" i="18" s="1"/>
  <c r="P737" i="18"/>
  <c r="M737" i="18"/>
  <c r="K736" i="18"/>
  <c r="J736" i="18"/>
  <c r="J729" i="18"/>
  <c r="I729" i="18"/>
  <c r="K729" i="18" s="1"/>
  <c r="J728" i="18"/>
  <c r="I728" i="18"/>
  <c r="J727" i="18"/>
  <c r="J726" i="18"/>
  <c r="I726" i="18"/>
  <c r="J725" i="18"/>
  <c r="I725" i="18"/>
  <c r="J724" i="18"/>
  <c r="J723" i="18"/>
  <c r="I723" i="18"/>
  <c r="I722" i="18"/>
  <c r="I721" i="18"/>
  <c r="J720" i="18"/>
  <c r="I720" i="18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P697" i="18"/>
  <c r="O697" i="18"/>
  <c r="P696" i="18"/>
  <c r="O696" i="18"/>
  <c r="O695" i="18"/>
  <c r="N695" i="18"/>
  <c r="M695" i="18"/>
  <c r="P695" i="18" s="1"/>
  <c r="L695" i="18"/>
  <c r="P690" i="18"/>
  <c r="N690" i="18"/>
  <c r="N687" i="18" s="1"/>
  <c r="L690" i="18"/>
  <c r="O690" i="18" s="1"/>
  <c r="P688" i="18"/>
  <c r="M688" i="18"/>
  <c r="P687" i="18"/>
  <c r="M687" i="18"/>
  <c r="P686" i="18"/>
  <c r="O686" i="18"/>
  <c r="N686" i="18"/>
  <c r="M686" i="18"/>
  <c r="L686" i="18"/>
  <c r="M685" i="18"/>
  <c r="P685" i="18" s="1"/>
  <c r="J679" i="18"/>
  <c r="J678" i="18"/>
  <c r="I678" i="18"/>
  <c r="K678" i="18" s="1"/>
  <c r="J675" i="18"/>
  <c r="I671" i="18"/>
  <c r="K671" i="18" s="1"/>
  <c r="I670" i="18"/>
  <c r="K670" i="18" s="1"/>
  <c r="J669" i="18"/>
  <c r="I669" i="18"/>
  <c r="K673" i="18" s="1"/>
  <c r="P667" i="18"/>
  <c r="O667" i="18"/>
  <c r="P666" i="18"/>
  <c r="O666" i="18"/>
  <c r="P665" i="18"/>
  <c r="O665" i="18"/>
  <c r="N665" i="18"/>
  <c r="M665" i="18"/>
  <c r="L665" i="18"/>
  <c r="P660" i="18"/>
  <c r="N660" i="18"/>
  <c r="L660" i="18"/>
  <c r="L657" i="18" s="1"/>
  <c r="P659" i="18"/>
  <c r="O659" i="18"/>
  <c r="N658" i="18"/>
  <c r="M658" i="18"/>
  <c r="P658" i="18" s="1"/>
  <c r="N657" i="18"/>
  <c r="M657" i="18"/>
  <c r="P657" i="18" s="1"/>
  <c r="N656" i="18"/>
  <c r="N655" i="18" s="1"/>
  <c r="M656" i="18"/>
  <c r="M655" i="18" s="1"/>
  <c r="P655" i="18" s="1"/>
  <c r="L656" i="18"/>
  <c r="O656" i="18" s="1"/>
  <c r="J654" i="18"/>
  <c r="K652" i="18"/>
  <c r="J652" i="18"/>
  <c r="J651" i="18"/>
  <c r="J628" i="18" s="1"/>
  <c r="I651" i="18"/>
  <c r="I628" i="18" s="1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O641" i="18" s="1"/>
  <c r="P640" i="18"/>
  <c r="O640" i="18"/>
  <c r="P639" i="18"/>
  <c r="N639" i="18"/>
  <c r="M639" i="18"/>
  <c r="P634" i="18"/>
  <c r="N634" i="18"/>
  <c r="L634" i="18"/>
  <c r="P633" i="18"/>
  <c r="O633" i="18"/>
  <c r="P632" i="18"/>
  <c r="N632" i="18"/>
  <c r="M632" i="18"/>
  <c r="L632" i="18"/>
  <c r="P631" i="18"/>
  <c r="N631" i="18"/>
  <c r="M631" i="18"/>
  <c r="O630" i="18"/>
  <c r="N630" i="18"/>
  <c r="M630" i="18"/>
  <c r="P630" i="18" s="1"/>
  <c r="L630" i="18"/>
  <c r="N629" i="18"/>
  <c r="M629" i="18"/>
  <c r="P629" i="18" s="1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3" i="18" s="1"/>
  <c r="J596" i="18"/>
  <c r="J594" i="18" s="1"/>
  <c r="J595" i="18"/>
  <c r="I594" i="18"/>
  <c r="K594" i="18" s="1"/>
  <c r="I593" i="18"/>
  <c r="I592" i="18" s="1"/>
  <c r="J583" i="18"/>
  <c r="J577" i="18" s="1"/>
  <c r="J582" i="18"/>
  <c r="I577" i="18"/>
  <c r="J576" i="18"/>
  <c r="I576" i="18"/>
  <c r="I559" i="18" s="1"/>
  <c r="J569" i="18"/>
  <c r="I569" i="18"/>
  <c r="K569" i="18" s="1"/>
  <c r="J568" i="18"/>
  <c r="I568" i="18"/>
  <c r="J561" i="18"/>
  <c r="I561" i="18"/>
  <c r="K561" i="18" s="1"/>
  <c r="J560" i="18"/>
  <c r="I560" i="18"/>
  <c r="P557" i="18"/>
  <c r="L557" i="18"/>
  <c r="O557" i="18" s="1"/>
  <c r="P556" i="18"/>
  <c r="O556" i="18"/>
  <c r="N555" i="18"/>
  <c r="N545" i="18" s="1"/>
  <c r="N544" i="18" s="1"/>
  <c r="M555" i="18"/>
  <c r="P555" i="18" s="1"/>
  <c r="P549" i="18"/>
  <c r="N549" i="18"/>
  <c r="N546" i="18" s="1"/>
  <c r="L549" i="18"/>
  <c r="O549" i="18" s="1"/>
  <c r="P548" i="18"/>
  <c r="O548" i="18"/>
  <c r="N547" i="18"/>
  <c r="M547" i="18"/>
  <c r="P547" i="18" s="1"/>
  <c r="M546" i="18"/>
  <c r="P546" i="18" s="1"/>
  <c r="L545" i="18"/>
  <c r="I542" i="18"/>
  <c r="K542" i="18" s="1"/>
  <c r="I541" i="18"/>
  <c r="K541" i="18" s="1"/>
  <c r="I540" i="18"/>
  <c r="K540" i="18" s="1"/>
  <c r="I539" i="18"/>
  <c r="K539" i="18" s="1"/>
  <c r="I538" i="18"/>
  <c r="K538" i="18" s="1"/>
  <c r="I537" i="18"/>
  <c r="I522" i="18" s="1"/>
  <c r="P535" i="18"/>
  <c r="L535" i="18"/>
  <c r="O535" i="18" s="1"/>
  <c r="P534" i="18"/>
  <c r="O534" i="18"/>
  <c r="N533" i="18"/>
  <c r="M533" i="18"/>
  <c r="P533" i="18" s="1"/>
  <c r="P528" i="18"/>
  <c r="N528" i="18"/>
  <c r="L528" i="18"/>
  <c r="O528" i="18" s="1"/>
  <c r="P527" i="18"/>
  <c r="O527" i="18"/>
  <c r="P526" i="18"/>
  <c r="N526" i="18"/>
  <c r="M526" i="18"/>
  <c r="L526" i="18"/>
  <c r="O526" i="18" s="1"/>
  <c r="P525" i="18"/>
  <c r="N525" i="18"/>
  <c r="M525" i="18"/>
  <c r="P524" i="18"/>
  <c r="O524" i="18"/>
  <c r="N524" i="18"/>
  <c r="M524" i="18"/>
  <c r="L524" i="18"/>
  <c r="N523" i="18"/>
  <c r="M523" i="18"/>
  <c r="P523" i="18" s="1"/>
  <c r="K517" i="18"/>
  <c r="J517" i="18"/>
  <c r="K516" i="18"/>
  <c r="P514" i="18"/>
  <c r="O514" i="18"/>
  <c r="P513" i="18"/>
  <c r="O513" i="18"/>
  <c r="P512" i="18"/>
  <c r="N512" i="18"/>
  <c r="M512" i="18"/>
  <c r="L512" i="18"/>
  <c r="O512" i="18" s="1"/>
  <c r="P507" i="18"/>
  <c r="O507" i="18"/>
  <c r="N507" i="18"/>
  <c r="P506" i="18"/>
  <c r="O506" i="18"/>
  <c r="P505" i="18"/>
  <c r="O505" i="18"/>
  <c r="N505" i="18"/>
  <c r="M505" i="18"/>
  <c r="L505" i="18"/>
  <c r="O504" i="18"/>
  <c r="N504" i="18"/>
  <c r="M504" i="18"/>
  <c r="P504" i="18" s="1"/>
  <c r="L504" i="18"/>
  <c r="N503" i="18"/>
  <c r="N502" i="18" s="1"/>
  <c r="M503" i="18"/>
  <c r="M502" i="18" s="1"/>
  <c r="P502" i="18" s="1"/>
  <c r="L503" i="18"/>
  <c r="O503" i="18" s="1"/>
  <c r="L502" i="18"/>
  <c r="O502" i="18" s="1"/>
  <c r="K501" i="18"/>
  <c r="J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P477" i="18"/>
  <c r="N477" i="18"/>
  <c r="M477" i="18"/>
  <c r="P472" i="18"/>
  <c r="N472" i="18"/>
  <c r="L472" i="18"/>
  <c r="L470" i="18" s="1"/>
  <c r="O470" i="18" s="1"/>
  <c r="P471" i="18"/>
  <c r="O471" i="18"/>
  <c r="P470" i="18"/>
  <c r="N470" i="18"/>
  <c r="M470" i="18"/>
  <c r="N469" i="18"/>
  <c r="M469" i="18"/>
  <c r="P469" i="18" s="1"/>
  <c r="N468" i="18"/>
  <c r="N467" i="18" s="1"/>
  <c r="M468" i="18"/>
  <c r="P468" i="18" s="1"/>
  <c r="L468" i="18"/>
  <c r="O468" i="18" s="1"/>
  <c r="J466" i="18"/>
  <c r="I466" i="18"/>
  <c r="K466" i="18" s="1"/>
  <c r="J465" i="18"/>
  <c r="I465" i="18"/>
  <c r="I464" i="18"/>
  <c r="I463" i="18"/>
  <c r="I462" i="18"/>
  <c r="K462" i="18" s="1"/>
  <c r="I460" i="18"/>
  <c r="K460" i="18" s="1"/>
  <c r="K458" i="18"/>
  <c r="P456" i="18"/>
  <c r="L456" i="18"/>
  <c r="O456" i="18" s="1"/>
  <c r="P455" i="18"/>
  <c r="O455" i="18"/>
  <c r="P454" i="18"/>
  <c r="N454" i="18"/>
  <c r="M454" i="18"/>
  <c r="L454" i="18"/>
  <c r="O454" i="18" s="1"/>
  <c r="P449" i="18"/>
  <c r="N449" i="18"/>
  <c r="L449" i="18"/>
  <c r="L447" i="18" s="1"/>
  <c r="O447" i="18" s="1"/>
  <c r="P448" i="18"/>
  <c r="O448" i="18"/>
  <c r="P447" i="18"/>
  <c r="N447" i="18"/>
  <c r="M447" i="18"/>
  <c r="P446" i="18"/>
  <c r="N446" i="18"/>
  <c r="M446" i="18"/>
  <c r="O445" i="18"/>
  <c r="N445" i="18"/>
  <c r="M445" i="18"/>
  <c r="P445" i="18" s="1"/>
  <c r="L445" i="18"/>
  <c r="N444" i="18"/>
  <c r="J443" i="18"/>
  <c r="J442" i="18"/>
  <c r="I441" i="18"/>
  <c r="K441" i="18" s="1"/>
  <c r="I440" i="18"/>
  <c r="I439" i="18"/>
  <c r="K439" i="18" s="1"/>
  <c r="I438" i="18"/>
  <c r="K438" i="18" s="1"/>
  <c r="I437" i="18"/>
  <c r="K437" i="18" s="1"/>
  <c r="I435" i="18"/>
  <c r="I433" i="18" s="1"/>
  <c r="J434" i="18"/>
  <c r="P431" i="18"/>
  <c r="L431" i="18"/>
  <c r="O431" i="18" s="1"/>
  <c r="P430" i="18"/>
  <c r="O430" i="18"/>
  <c r="P429" i="18"/>
  <c r="N429" i="18"/>
  <c r="M429" i="18"/>
  <c r="L429" i="18"/>
  <c r="O429" i="18" s="1"/>
  <c r="P424" i="18"/>
  <c r="N424" i="18"/>
  <c r="L424" i="18"/>
  <c r="L422" i="18" s="1"/>
  <c r="P423" i="18"/>
  <c r="O423" i="18"/>
  <c r="P422" i="18"/>
  <c r="M422" i="18"/>
  <c r="P421" i="18"/>
  <c r="M421" i="18"/>
  <c r="O420" i="18"/>
  <c r="N420" i="18"/>
  <c r="M420" i="18"/>
  <c r="P420" i="18" s="1"/>
  <c r="L420" i="18"/>
  <c r="J418" i="18"/>
  <c r="K413" i="18"/>
  <c r="K412" i="18"/>
  <c r="N410" i="18"/>
  <c r="N408" i="18" s="1"/>
  <c r="M410" i="18"/>
  <c r="P410" i="18" s="1"/>
  <c r="L410" i="18"/>
  <c r="O410" i="18" s="1"/>
  <c r="P409" i="18"/>
  <c r="O409" i="18"/>
  <c r="N407" i="18"/>
  <c r="M407" i="18"/>
  <c r="P407" i="18" s="1"/>
  <c r="L407" i="18"/>
  <c r="L405" i="18" s="1"/>
  <c r="O405" i="18" s="1"/>
  <c r="P406" i="18"/>
  <c r="O406" i="18"/>
  <c r="P403" i="18"/>
  <c r="N403" i="18"/>
  <c r="M403" i="18"/>
  <c r="L403" i="18"/>
  <c r="J401" i="18"/>
  <c r="I401" i="18"/>
  <c r="K401" i="18" s="1"/>
  <c r="K400" i="18"/>
  <c r="K399" i="18"/>
  <c r="N397" i="18"/>
  <c r="M397" i="18"/>
  <c r="M395" i="18" s="1"/>
  <c r="P395" i="18" s="1"/>
  <c r="L397" i="18"/>
  <c r="O397" i="18" s="1"/>
  <c r="P396" i="18"/>
  <c r="O396" i="18"/>
  <c r="N394" i="18"/>
  <c r="N392" i="18" s="1"/>
  <c r="M394" i="18"/>
  <c r="L394" i="18"/>
  <c r="O394" i="18" s="1"/>
  <c r="P393" i="18"/>
  <c r="O393" i="18"/>
  <c r="N390" i="18"/>
  <c r="M390" i="18"/>
  <c r="P390" i="18" s="1"/>
  <c r="L390" i="18"/>
  <c r="O390" i="18" s="1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L353" i="18"/>
  <c r="L351" i="18" s="1"/>
  <c r="P352" i="18"/>
  <c r="O352" i="18"/>
  <c r="N350" i="18"/>
  <c r="M350" i="18"/>
  <c r="M348" i="18" s="1"/>
  <c r="L350" i="18"/>
  <c r="P349" i="18"/>
  <c r="O349" i="18"/>
  <c r="P346" i="18"/>
  <c r="O346" i="18"/>
  <c r="N346" i="18"/>
  <c r="M346" i="18"/>
  <c r="L346" i="18"/>
  <c r="J343" i="18"/>
  <c r="J342" i="18"/>
  <c r="J341" i="18"/>
  <c r="J340" i="18"/>
  <c r="I340" i="18"/>
  <c r="J338" i="18"/>
  <c r="I338" i="18"/>
  <c r="N336" i="18"/>
  <c r="N334" i="18" s="1"/>
  <c r="M336" i="18"/>
  <c r="M334" i="18" s="1"/>
  <c r="P334" i="18" s="1"/>
  <c r="L336" i="18"/>
  <c r="O336" i="18" s="1"/>
  <c r="P335" i="18"/>
  <c r="O335" i="18"/>
  <c r="N333" i="18"/>
  <c r="N331" i="18" s="1"/>
  <c r="M333" i="18"/>
  <c r="M331" i="18" s="1"/>
  <c r="L333" i="18"/>
  <c r="P332" i="18"/>
  <c r="O332" i="18"/>
  <c r="N329" i="18"/>
  <c r="M329" i="18"/>
  <c r="P329" i="18" s="1"/>
  <c r="L329" i="18"/>
  <c r="I327" i="18"/>
  <c r="I325" i="18"/>
  <c r="K325" i="18" s="1"/>
  <c r="N323" i="18"/>
  <c r="M323" i="18"/>
  <c r="P323" i="18" s="1"/>
  <c r="L323" i="18"/>
  <c r="O323" i="18" s="1"/>
  <c r="P322" i="18"/>
  <c r="O322" i="18"/>
  <c r="N320" i="18"/>
  <c r="N318" i="18" s="1"/>
  <c r="M320" i="18"/>
  <c r="M318" i="18" s="1"/>
  <c r="L320" i="18"/>
  <c r="P319" i="18"/>
  <c r="O319" i="18"/>
  <c r="P316" i="18"/>
  <c r="O316" i="18"/>
  <c r="N316" i="18"/>
  <c r="M316" i="18"/>
  <c r="L316" i="18"/>
  <c r="J314" i="18"/>
  <c r="I312" i="18"/>
  <c r="K312" i="18" s="1"/>
  <c r="I311" i="18"/>
  <c r="K311" i="18" s="1"/>
  <c r="I310" i="18"/>
  <c r="K310" i="18" s="1"/>
  <c r="I309" i="18"/>
  <c r="I297" i="18" s="1"/>
  <c r="K297" i="18" s="1"/>
  <c r="N306" i="18"/>
  <c r="N304" i="18" s="1"/>
  <c r="M306" i="18"/>
  <c r="P306" i="18" s="1"/>
  <c r="L306" i="18"/>
  <c r="O306" i="18" s="1"/>
  <c r="P305" i="18"/>
  <c r="O305" i="18"/>
  <c r="N303" i="18"/>
  <c r="N301" i="18" s="1"/>
  <c r="M303" i="18"/>
  <c r="L303" i="18"/>
  <c r="L301" i="18" s="1"/>
  <c r="P302" i="18"/>
  <c r="O302" i="18"/>
  <c r="N299" i="18"/>
  <c r="M299" i="18"/>
  <c r="L299" i="18"/>
  <c r="O299" i="18" s="1"/>
  <c r="J297" i="18"/>
  <c r="I294" i="18"/>
  <c r="K294" i="18" s="1"/>
  <c r="I293" i="18"/>
  <c r="K293" i="18" s="1"/>
  <c r="I291" i="18"/>
  <c r="K291" i="18" s="1"/>
  <c r="I290" i="18"/>
  <c r="K290" i="18" s="1"/>
  <c r="I288" i="18"/>
  <c r="I275" i="18" s="1"/>
  <c r="I287" i="18"/>
  <c r="K287" i="18" s="1"/>
  <c r="N285" i="18"/>
  <c r="N283" i="18" s="1"/>
  <c r="M285" i="18"/>
  <c r="P285" i="18" s="1"/>
  <c r="L285" i="18"/>
  <c r="P284" i="18"/>
  <c r="O284" i="18"/>
  <c r="N282" i="18"/>
  <c r="N280" i="18" s="1"/>
  <c r="M282" i="18"/>
  <c r="M280" i="18" s="1"/>
  <c r="L282" i="18"/>
  <c r="L280" i="18" s="1"/>
  <c r="P281" i="18"/>
  <c r="O281" i="18"/>
  <c r="O278" i="18"/>
  <c r="N278" i="18"/>
  <c r="M278" i="18"/>
  <c r="L278" i="18"/>
  <c r="J276" i="18"/>
  <c r="I271" i="18"/>
  <c r="N269" i="18"/>
  <c r="N267" i="18" s="1"/>
  <c r="M269" i="18"/>
  <c r="M267" i="18" s="1"/>
  <c r="P267" i="18" s="1"/>
  <c r="L269" i="18"/>
  <c r="L267" i="18" s="1"/>
  <c r="O267" i="18" s="1"/>
  <c r="P268" i="18"/>
  <c r="O268" i="18"/>
  <c r="N266" i="18"/>
  <c r="N264" i="18" s="1"/>
  <c r="M266" i="18"/>
  <c r="M264" i="18" s="1"/>
  <c r="L266" i="18"/>
  <c r="P265" i="18"/>
  <c r="O265" i="18"/>
  <c r="P262" i="18"/>
  <c r="N262" i="18"/>
  <c r="M262" i="18"/>
  <c r="L262" i="18"/>
  <c r="O262" i="18" s="1"/>
  <c r="J260" i="18"/>
  <c r="K258" i="18"/>
  <c r="K257" i="18"/>
  <c r="I255" i="18"/>
  <c r="K255" i="18" s="1"/>
  <c r="L253" i="18"/>
  <c r="L252" i="18"/>
  <c r="L251" i="18"/>
  <c r="L250" i="18"/>
  <c r="P249" i="18"/>
  <c r="N249" i="18"/>
  <c r="J248" i="18"/>
  <c r="K247" i="18"/>
  <c r="K246" i="18"/>
  <c r="I244" i="18"/>
  <c r="K244" i="18" s="1"/>
  <c r="L242" i="18"/>
  <c r="L241" i="18"/>
  <c r="L240" i="18"/>
  <c r="L239" i="18"/>
  <c r="P238" i="18"/>
  <c r="N238" i="18"/>
  <c r="J237" i="18"/>
  <c r="J236" i="18"/>
  <c r="I236" i="18"/>
  <c r="K236" i="18" s="1"/>
  <c r="K235" i="18"/>
  <c r="J235" i="18"/>
  <c r="I235" i="18"/>
  <c r="J233" i="18"/>
  <c r="N231" i="18"/>
  <c r="N230" i="18"/>
  <c r="N229" i="18"/>
  <c r="N228" i="18"/>
  <c r="N227" i="18"/>
  <c r="J226" i="18"/>
  <c r="I225" i="18"/>
  <c r="I224" i="18"/>
  <c r="K224" i="18" s="1"/>
  <c r="I223" i="18"/>
  <c r="K223" i="18" s="1"/>
  <c r="L220" i="18"/>
  <c r="L219" i="18"/>
  <c r="L218" i="18"/>
  <c r="P217" i="18"/>
  <c r="N217" i="18"/>
  <c r="J216" i="18"/>
  <c r="I215" i="18"/>
  <c r="I208" i="18" s="1"/>
  <c r="K208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I197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P189" i="18" s="1"/>
  <c r="L189" i="18"/>
  <c r="O189" i="18" s="1"/>
  <c r="P188" i="18"/>
  <c r="O188" i="18"/>
  <c r="N186" i="18"/>
  <c r="N184" i="18" s="1"/>
  <c r="M186" i="18"/>
  <c r="M184" i="18" s="1"/>
  <c r="L186" i="18"/>
  <c r="P185" i="18"/>
  <c r="O185" i="18"/>
  <c r="P182" i="18"/>
  <c r="N182" i="18"/>
  <c r="M182" i="18"/>
  <c r="L182" i="18"/>
  <c r="J180" i="18"/>
  <c r="J177" i="18"/>
  <c r="I176" i="18"/>
  <c r="I174" i="18" s="1"/>
  <c r="J174" i="18"/>
  <c r="J164" i="18" s="1"/>
  <c r="N173" i="18"/>
  <c r="N171" i="18" s="1"/>
  <c r="M173" i="18"/>
  <c r="P173" i="18" s="1"/>
  <c r="L173" i="18"/>
  <c r="O173" i="18" s="1"/>
  <c r="P172" i="18"/>
  <c r="O172" i="18"/>
  <c r="N170" i="18"/>
  <c r="N168" i="18" s="1"/>
  <c r="M170" i="18"/>
  <c r="M168" i="18" s="1"/>
  <c r="L170" i="18"/>
  <c r="P169" i="18"/>
  <c r="O169" i="18"/>
  <c r="N166" i="18"/>
  <c r="M166" i="18"/>
  <c r="L166" i="18"/>
  <c r="O166" i="18" s="1"/>
  <c r="I159" i="18"/>
  <c r="K159" i="18" s="1"/>
  <c r="N157" i="18"/>
  <c r="M157" i="18"/>
  <c r="M155" i="18" s="1"/>
  <c r="P155" i="18" s="1"/>
  <c r="L157" i="18"/>
  <c r="O157" i="18" s="1"/>
  <c r="P156" i="18"/>
  <c r="O156" i="18"/>
  <c r="N154" i="18"/>
  <c r="N152" i="18" s="1"/>
  <c r="M154" i="18"/>
  <c r="L154" i="18"/>
  <c r="P153" i="18"/>
  <c r="O153" i="18"/>
  <c r="O150" i="18"/>
  <c r="N150" i="18"/>
  <c r="M150" i="18"/>
  <c r="P150" i="18" s="1"/>
  <c r="L150" i="18"/>
  <c r="J148" i="18"/>
  <c r="I146" i="18"/>
  <c r="I130" i="18" s="1"/>
  <c r="K130" i="18" s="1"/>
  <c r="I145" i="18"/>
  <c r="I144" i="18"/>
  <c r="K144" i="18" s="1"/>
  <c r="N140" i="18"/>
  <c r="N138" i="18" s="1"/>
  <c r="M140" i="18"/>
  <c r="M138" i="18" s="1"/>
  <c r="L140" i="18"/>
  <c r="P139" i="18"/>
  <c r="O139" i="18"/>
  <c r="N137" i="18"/>
  <c r="N135" i="18" s="1"/>
  <c r="M137" i="18"/>
  <c r="L137" i="18"/>
  <c r="L135" i="18" s="1"/>
  <c r="P136" i="18"/>
  <c r="O136" i="18"/>
  <c r="O133" i="18"/>
  <c r="N133" i="18"/>
  <c r="M133" i="18"/>
  <c r="L133" i="18"/>
  <c r="J130" i="18"/>
  <c r="N127" i="18"/>
  <c r="N125" i="18" s="1"/>
  <c r="M127" i="18"/>
  <c r="M125" i="18" s="1"/>
  <c r="P125" i="18" s="1"/>
  <c r="L127" i="18"/>
  <c r="O127" i="18" s="1"/>
  <c r="P126" i="18"/>
  <c r="O126" i="18"/>
  <c r="N124" i="18"/>
  <c r="N122" i="18" s="1"/>
  <c r="M124" i="18"/>
  <c r="M122" i="18" s="1"/>
  <c r="P122" i="18" s="1"/>
  <c r="L124" i="18"/>
  <c r="O124" i="18" s="1"/>
  <c r="P123" i="18"/>
  <c r="O123" i="18"/>
  <c r="O120" i="18"/>
  <c r="N120" i="18"/>
  <c r="M120" i="18"/>
  <c r="L120" i="18"/>
  <c r="I116" i="18"/>
  <c r="I115" i="18"/>
  <c r="K115" i="18" s="1"/>
  <c r="I114" i="18"/>
  <c r="K114" i="18" s="1"/>
  <c r="I113" i="18"/>
  <c r="K113" i="18" s="1"/>
  <c r="J112" i="18"/>
  <c r="J111" i="18"/>
  <c r="I111" i="18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J87" i="18" s="1"/>
  <c r="I99" i="18"/>
  <c r="I87" i="18" s="1"/>
  <c r="K87" i="18" s="1"/>
  <c r="J98" i="18"/>
  <c r="J86" i="18" s="1"/>
  <c r="I98" i="18"/>
  <c r="I86" i="18" s="1"/>
  <c r="N96" i="18"/>
  <c r="N94" i="18" s="1"/>
  <c r="M96" i="18"/>
  <c r="P96" i="18" s="1"/>
  <c r="L96" i="18"/>
  <c r="O96" i="18" s="1"/>
  <c r="P95" i="18"/>
  <c r="O95" i="18"/>
  <c r="N93" i="18"/>
  <c r="M93" i="18"/>
  <c r="M91" i="18" s="1"/>
  <c r="L93" i="18"/>
  <c r="L91" i="18" s="1"/>
  <c r="P92" i="18"/>
  <c r="O92" i="18"/>
  <c r="N89" i="18"/>
  <c r="M89" i="18"/>
  <c r="P89" i="18" s="1"/>
  <c r="L89" i="18"/>
  <c r="O89" i="18" s="1"/>
  <c r="I84" i="18"/>
  <c r="K84" i="18" s="1"/>
  <c r="I83" i="18"/>
  <c r="K83" i="18" s="1"/>
  <c r="I82" i="18"/>
  <c r="K82" i="18" s="1"/>
  <c r="I81" i="18"/>
  <c r="I80" i="18"/>
  <c r="K80" i="18" s="1"/>
  <c r="I79" i="18"/>
  <c r="K79" i="18" s="1"/>
  <c r="I78" i="18"/>
  <c r="K78" i="18" s="1"/>
  <c r="J77" i="18"/>
  <c r="J76" i="18"/>
  <c r="N74" i="18"/>
  <c r="N72" i="18" s="1"/>
  <c r="M74" i="18"/>
  <c r="M72" i="18" s="1"/>
  <c r="P72" i="18" s="1"/>
  <c r="L74" i="18"/>
  <c r="O74" i="18" s="1"/>
  <c r="P73" i="18"/>
  <c r="O73" i="18"/>
  <c r="N71" i="18"/>
  <c r="M71" i="18"/>
  <c r="M69" i="18" s="1"/>
  <c r="L71" i="18"/>
  <c r="P70" i="18"/>
  <c r="O70" i="18"/>
  <c r="O67" i="18"/>
  <c r="N67" i="18"/>
  <c r="M67" i="18"/>
  <c r="P67" i="18" s="1"/>
  <c r="L67" i="18"/>
  <c r="J65" i="18"/>
  <c r="J64" i="18"/>
  <c r="N61" i="18"/>
  <c r="M61" i="18"/>
  <c r="L61" i="18"/>
  <c r="L59" i="18" s="1"/>
  <c r="P60" i="18"/>
  <c r="O60" i="18"/>
  <c r="N58" i="18"/>
  <c r="N56" i="18" s="1"/>
  <c r="M58" i="18"/>
  <c r="L58" i="18"/>
  <c r="L56" i="18" s="1"/>
  <c r="P57" i="18"/>
  <c r="O57" i="18"/>
  <c r="P54" i="18"/>
  <c r="N54" i="18"/>
  <c r="M54" i="18"/>
  <c r="L54" i="18"/>
  <c r="N49" i="18"/>
  <c r="N47" i="18" s="1"/>
  <c r="M49" i="18"/>
  <c r="M47" i="18" s="1"/>
  <c r="P47" i="18" s="1"/>
  <c r="L49" i="18"/>
  <c r="O49" i="18" s="1"/>
  <c r="P48" i="18"/>
  <c r="O48" i="18"/>
  <c r="N46" i="18"/>
  <c r="N44" i="18" s="1"/>
  <c r="M46" i="18"/>
  <c r="L46" i="18"/>
  <c r="L44" i="18" s="1"/>
  <c r="P45" i="18"/>
  <c r="O45" i="18"/>
  <c r="O42" i="18"/>
  <c r="N42" i="18"/>
  <c r="M42" i="18"/>
  <c r="P42" i="18" s="1"/>
  <c r="L42" i="18"/>
  <c r="P36" i="18"/>
  <c r="N36" i="18"/>
  <c r="N30" i="18" s="1"/>
  <c r="M36" i="18"/>
  <c r="O35" i="18"/>
  <c r="N35" i="18"/>
  <c r="M35" i="18"/>
  <c r="M34" i="18" s="1"/>
  <c r="P34" i="18" s="1"/>
  <c r="L35" i="18"/>
  <c r="N33" i="18"/>
  <c r="M33" i="18"/>
  <c r="N32" i="18"/>
  <c r="M32" i="18"/>
  <c r="M31" i="18" s="1"/>
  <c r="P31" i="18" s="1"/>
  <c r="L32" i="18"/>
  <c r="P25" i="18"/>
  <c r="N25" i="18"/>
  <c r="N19" i="18" s="1"/>
  <c r="M25" i="18"/>
  <c r="M15" i="18" s="1"/>
  <c r="L25" i="18"/>
  <c r="O22" i="18"/>
  <c r="N22" i="18"/>
  <c r="M22" i="18"/>
  <c r="P22" i="18" s="1"/>
  <c r="L22" i="18"/>
  <c r="M19" i="18"/>
  <c r="N12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N815" i="17"/>
  <c r="M815" i="17"/>
  <c r="L815" i="17"/>
  <c r="O815" i="17" s="1"/>
  <c r="P810" i="17"/>
  <c r="O810" i="17"/>
  <c r="N810" i="17"/>
  <c r="N807" i="17" s="1"/>
  <c r="N805" i="17" s="1"/>
  <c r="P809" i="17"/>
  <c r="O809" i="17"/>
  <c r="P808" i="17"/>
  <c r="N808" i="17"/>
  <c r="M808" i="17"/>
  <c r="L808" i="17"/>
  <c r="O808" i="17" s="1"/>
  <c r="O807" i="17"/>
  <c r="M807" i="17"/>
  <c r="L807" i="17"/>
  <c r="P806" i="17"/>
  <c r="N806" i="17"/>
  <c r="M806" i="17"/>
  <c r="L806" i="17"/>
  <c r="K804" i="17"/>
  <c r="J804" i="17"/>
  <c r="J803" i="17"/>
  <c r="I803" i="17"/>
  <c r="K803" i="17" s="1"/>
  <c r="J802" i="17"/>
  <c r="J801" i="17"/>
  <c r="I801" i="17"/>
  <c r="J800" i="17"/>
  <c r="P798" i="17"/>
  <c r="O798" i="17"/>
  <c r="P797" i="17"/>
  <c r="O797" i="17"/>
  <c r="P796" i="17"/>
  <c r="N796" i="17"/>
  <c r="M796" i="17"/>
  <c r="L796" i="17"/>
  <c r="O796" i="17" s="1"/>
  <c r="P791" i="17"/>
  <c r="N791" i="17"/>
  <c r="L791" i="17"/>
  <c r="P790" i="17"/>
  <c r="O790" i="17"/>
  <c r="N789" i="17"/>
  <c r="M789" i="17"/>
  <c r="P789" i="17" s="1"/>
  <c r="P788" i="17"/>
  <c r="N788" i="17"/>
  <c r="M788" i="17"/>
  <c r="O787" i="17"/>
  <c r="N787" i="17"/>
  <c r="M787" i="17"/>
  <c r="M786" i="17" s="1"/>
  <c r="P786" i="17" s="1"/>
  <c r="L787" i="17"/>
  <c r="N786" i="17"/>
  <c r="P782" i="17"/>
  <c r="O782" i="17"/>
  <c r="P781" i="17"/>
  <c r="O781" i="17"/>
  <c r="P780" i="17"/>
  <c r="N780" i="17"/>
  <c r="M780" i="17"/>
  <c r="L780" i="17"/>
  <c r="O780" i="17" s="1"/>
  <c r="P775" i="17"/>
  <c r="O775" i="17"/>
  <c r="N775" i="17"/>
  <c r="P774" i="17"/>
  <c r="O774" i="17"/>
  <c r="P773" i="17"/>
  <c r="N773" i="17"/>
  <c r="M773" i="17"/>
  <c r="L773" i="17"/>
  <c r="O773" i="17" s="1"/>
  <c r="O772" i="17"/>
  <c r="N772" i="17"/>
  <c r="M772" i="17"/>
  <c r="P772" i="17" s="1"/>
  <c r="L772" i="17"/>
  <c r="P771" i="17"/>
  <c r="N771" i="17"/>
  <c r="N770" i="17" s="1"/>
  <c r="M771" i="17"/>
  <c r="L771" i="17"/>
  <c r="O771" i="17" s="1"/>
  <c r="O770" i="17"/>
  <c r="M770" i="17"/>
  <c r="P770" i="17" s="1"/>
  <c r="L770" i="17"/>
  <c r="K769" i="17"/>
  <c r="J769" i="17"/>
  <c r="P766" i="17"/>
  <c r="O766" i="17"/>
  <c r="P765" i="17"/>
  <c r="O765" i="17"/>
  <c r="P764" i="17"/>
  <c r="N764" i="17"/>
  <c r="M764" i="17"/>
  <c r="L764" i="17"/>
  <c r="O764" i="17" s="1"/>
  <c r="P759" i="17"/>
  <c r="O759" i="17"/>
  <c r="N759" i="17"/>
  <c r="P758" i="17"/>
  <c r="O758" i="17"/>
  <c r="P757" i="17"/>
  <c r="N757" i="17"/>
  <c r="M757" i="17"/>
  <c r="L757" i="17"/>
  <c r="O757" i="17" s="1"/>
  <c r="O756" i="17"/>
  <c r="N756" i="17"/>
  <c r="M756" i="17"/>
  <c r="P756" i="17" s="1"/>
  <c r="L756" i="17"/>
  <c r="P755" i="17"/>
  <c r="N755" i="17"/>
  <c r="N754" i="17" s="1"/>
  <c r="M755" i="17"/>
  <c r="L755" i="17"/>
  <c r="O755" i="17" s="1"/>
  <c r="O754" i="17"/>
  <c r="M754" i="17"/>
  <c r="P754" i="17" s="1"/>
  <c r="L754" i="17"/>
  <c r="K753" i="17"/>
  <c r="J753" i="17"/>
  <c r="P749" i="17"/>
  <c r="O749" i="17"/>
  <c r="P748" i="17"/>
  <c r="O748" i="17"/>
  <c r="P747" i="17"/>
  <c r="N747" i="17"/>
  <c r="M747" i="17"/>
  <c r="L747" i="17"/>
  <c r="O747" i="17" s="1"/>
  <c r="P742" i="17"/>
  <c r="O742" i="17"/>
  <c r="N742" i="17"/>
  <c r="P741" i="17"/>
  <c r="O741" i="17"/>
  <c r="P740" i="17"/>
  <c r="N740" i="17"/>
  <c r="M740" i="17"/>
  <c r="L740" i="17"/>
  <c r="O740" i="17" s="1"/>
  <c r="O739" i="17"/>
  <c r="N739" i="17"/>
  <c r="M739" i="17"/>
  <c r="P739" i="17" s="1"/>
  <c r="L739" i="17"/>
  <c r="P738" i="17"/>
  <c r="N738" i="17"/>
  <c r="N737" i="17" s="1"/>
  <c r="M738" i="17"/>
  <c r="L738" i="17"/>
  <c r="O738" i="17" s="1"/>
  <c r="O737" i="17"/>
  <c r="M737" i="17"/>
  <c r="P737" i="17" s="1"/>
  <c r="L737" i="17"/>
  <c r="K736" i="17"/>
  <c r="J736" i="17"/>
  <c r="J729" i="17"/>
  <c r="I729" i="17"/>
  <c r="K729" i="17" s="1"/>
  <c r="J728" i="17"/>
  <c r="I728" i="17"/>
  <c r="K728" i="17" s="1"/>
  <c r="J727" i="17"/>
  <c r="J726" i="17"/>
  <c r="I726" i="17"/>
  <c r="K726" i="17" s="1"/>
  <c r="J725" i="17"/>
  <c r="I725" i="17"/>
  <c r="K725" i="17" s="1"/>
  <c r="J724" i="17"/>
  <c r="J723" i="17"/>
  <c r="I723" i="17"/>
  <c r="K723" i="17" s="1"/>
  <c r="I722" i="17"/>
  <c r="K722" i="17" s="1"/>
  <c r="I721" i="17"/>
  <c r="K721" i="17" s="1"/>
  <c r="J720" i="17"/>
  <c r="I720" i="17"/>
  <c r="K720" i="17" s="1"/>
  <c r="J719" i="17"/>
  <c r="J718" i="17"/>
  <c r="J708" i="17"/>
  <c r="I708" i="17"/>
  <c r="K708" i="17" s="1"/>
  <c r="I707" i="17"/>
  <c r="I704" i="17"/>
  <c r="J701" i="17"/>
  <c r="I701" i="17"/>
  <c r="K701" i="17" s="1"/>
  <c r="J700" i="17"/>
  <c r="I700" i="17"/>
  <c r="K700" i="17" s="1"/>
  <c r="J699" i="17"/>
  <c r="I699" i="17"/>
  <c r="K699" i="17" s="1"/>
  <c r="P697" i="17"/>
  <c r="O697" i="17"/>
  <c r="P696" i="17"/>
  <c r="O696" i="17"/>
  <c r="P695" i="17"/>
  <c r="N695" i="17"/>
  <c r="M695" i="17"/>
  <c r="L695" i="17"/>
  <c r="O695" i="17" s="1"/>
  <c r="P690" i="17"/>
  <c r="N690" i="17"/>
  <c r="L690" i="17"/>
  <c r="N688" i="17"/>
  <c r="M688" i="17"/>
  <c r="P688" i="17" s="1"/>
  <c r="P687" i="17"/>
  <c r="N687" i="17"/>
  <c r="M687" i="17"/>
  <c r="O686" i="17"/>
  <c r="N686" i="17"/>
  <c r="M686" i="17"/>
  <c r="M685" i="17" s="1"/>
  <c r="P685" i="17" s="1"/>
  <c r="L686" i="17"/>
  <c r="N685" i="17"/>
  <c r="J679" i="17"/>
  <c r="J678" i="17" s="1"/>
  <c r="I678" i="17"/>
  <c r="K678" i="17" s="1"/>
  <c r="J675" i="17"/>
  <c r="J669" i="17" s="1"/>
  <c r="J654" i="17" s="1"/>
  <c r="I671" i="17"/>
  <c r="K671" i="17" s="1"/>
  <c r="I670" i="17"/>
  <c r="K670" i="17" s="1"/>
  <c r="I669" i="17"/>
  <c r="P667" i="17"/>
  <c r="O667" i="17"/>
  <c r="P666" i="17"/>
  <c r="O666" i="17"/>
  <c r="O665" i="17"/>
  <c r="N665" i="17"/>
  <c r="M665" i="17"/>
  <c r="P665" i="17" s="1"/>
  <c r="L665" i="17"/>
  <c r="P660" i="17"/>
  <c r="N660" i="17"/>
  <c r="N657" i="17" s="1"/>
  <c r="L660" i="17"/>
  <c r="L657" i="17" s="1"/>
  <c r="P659" i="17"/>
  <c r="O659" i="17"/>
  <c r="P658" i="17"/>
  <c r="M658" i="17"/>
  <c r="M657" i="17"/>
  <c r="P656" i="17"/>
  <c r="N656" i="17"/>
  <c r="M656" i="17"/>
  <c r="L656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P640" i="17"/>
  <c r="O640" i="17"/>
  <c r="N639" i="17"/>
  <c r="M639" i="17"/>
  <c r="P639" i="17" s="1"/>
  <c r="P634" i="17"/>
  <c r="N634" i="17"/>
  <c r="N631" i="17" s="1"/>
  <c r="L634" i="17"/>
  <c r="O634" i="17" s="1"/>
  <c r="P633" i="17"/>
  <c r="O633" i="17"/>
  <c r="P632" i="17"/>
  <c r="N632" i="17"/>
  <c r="M632" i="17"/>
  <c r="M631" i="17"/>
  <c r="P631" i="17" s="1"/>
  <c r="P630" i="17"/>
  <c r="N630" i="17"/>
  <c r="M630" i="17"/>
  <c r="L630" i="17"/>
  <c r="M629" i="17"/>
  <c r="P629" i="17" s="1"/>
  <c r="J621" i="17"/>
  <c r="I621" i="17"/>
  <c r="J620" i="17"/>
  <c r="I620" i="17"/>
  <c r="K613" i="17"/>
  <c r="J613" i="17"/>
  <c r="K612" i="17"/>
  <c r="J612" i="17"/>
  <c r="K611" i="17"/>
  <c r="J611" i="17"/>
  <c r="J604" i="17"/>
  <c r="J603" i="17"/>
  <c r="J596" i="17"/>
  <c r="J595" i="17"/>
  <c r="J593" i="17" s="1"/>
  <c r="J592" i="17" s="1"/>
  <c r="J594" i="17"/>
  <c r="I594" i="17"/>
  <c r="K594" i="17" s="1"/>
  <c r="I593" i="17"/>
  <c r="I592" i="17" s="1"/>
  <c r="K592" i="17" s="1"/>
  <c r="J583" i="17"/>
  <c r="J577" i="17" s="1"/>
  <c r="J582" i="17"/>
  <c r="I577" i="17"/>
  <c r="J576" i="17"/>
  <c r="J559" i="17" s="1"/>
  <c r="I576" i="17"/>
  <c r="I559" i="17" s="1"/>
  <c r="I543" i="17" s="1"/>
  <c r="J569" i="17"/>
  <c r="I569" i="17"/>
  <c r="J568" i="17"/>
  <c r="I568" i="17"/>
  <c r="J561" i="17"/>
  <c r="I561" i="17"/>
  <c r="J560" i="17"/>
  <c r="I560" i="17"/>
  <c r="P557" i="17"/>
  <c r="L557" i="17"/>
  <c r="O557" i="17" s="1"/>
  <c r="P556" i="17"/>
  <c r="O556" i="17"/>
  <c r="P555" i="17"/>
  <c r="N555" i="17"/>
  <c r="N545" i="17" s="1"/>
  <c r="N544" i="17" s="1"/>
  <c r="M555" i="17"/>
  <c r="L555" i="17"/>
  <c r="O555" i="17" s="1"/>
  <c r="P549" i="17"/>
  <c r="N549" i="17"/>
  <c r="L549" i="17"/>
  <c r="P548" i="17"/>
  <c r="O548" i="17"/>
  <c r="N547" i="17"/>
  <c r="M547" i="17"/>
  <c r="P547" i="17" s="1"/>
  <c r="P546" i="17"/>
  <c r="N546" i="17"/>
  <c r="M546" i="17"/>
  <c r="O545" i="17"/>
  <c r="M545" i="17"/>
  <c r="P545" i="17" s="1"/>
  <c r="L545" i="17"/>
  <c r="P544" i="17"/>
  <c r="M544" i="17"/>
  <c r="J543" i="17"/>
  <c r="I542" i="17"/>
  <c r="K542" i="17" s="1"/>
  <c r="I541" i="17"/>
  <c r="K541" i="17" s="1"/>
  <c r="I540" i="17"/>
  <c r="K540" i="17" s="1"/>
  <c r="I539" i="17"/>
  <c r="I538" i="17"/>
  <c r="K538" i="17" s="1"/>
  <c r="I537" i="17"/>
  <c r="I522" i="17" s="1"/>
  <c r="K522" i="17" s="1"/>
  <c r="P535" i="17"/>
  <c r="L535" i="17"/>
  <c r="O535" i="17" s="1"/>
  <c r="P534" i="17"/>
  <c r="O534" i="17"/>
  <c r="P533" i="17"/>
  <c r="N533" i="17"/>
  <c r="M533" i="17"/>
  <c r="L533" i="17"/>
  <c r="O533" i="17" s="1"/>
  <c r="P528" i="17"/>
  <c r="N528" i="17"/>
  <c r="N525" i="17" s="1"/>
  <c r="N523" i="17" s="1"/>
  <c r="L528" i="17"/>
  <c r="L526" i="17" s="1"/>
  <c r="O526" i="17" s="1"/>
  <c r="P527" i="17"/>
  <c r="O527" i="17"/>
  <c r="N526" i="17"/>
  <c r="M526" i="17"/>
  <c r="P526" i="17" s="1"/>
  <c r="P525" i="17"/>
  <c r="M525" i="17"/>
  <c r="O524" i="17"/>
  <c r="N524" i="17"/>
  <c r="M524" i="17"/>
  <c r="M523" i="17" s="1"/>
  <c r="P523" i="17" s="1"/>
  <c r="L524" i="17"/>
  <c r="K517" i="17"/>
  <c r="J517" i="17"/>
  <c r="K516" i="17"/>
  <c r="P514" i="17"/>
  <c r="O514" i="17"/>
  <c r="P513" i="17"/>
  <c r="O513" i="17"/>
  <c r="O512" i="17"/>
  <c r="N512" i="17"/>
  <c r="M512" i="17"/>
  <c r="P512" i="17" s="1"/>
  <c r="L512" i="17"/>
  <c r="P507" i="17"/>
  <c r="O507" i="17"/>
  <c r="N507" i="17"/>
  <c r="N505" i="17" s="1"/>
  <c r="P506" i="17"/>
  <c r="O506" i="17"/>
  <c r="M505" i="17"/>
  <c r="P505" i="17" s="1"/>
  <c r="L505" i="17"/>
  <c r="O505" i="17" s="1"/>
  <c r="P504" i="17"/>
  <c r="N504" i="17"/>
  <c r="N502" i="17" s="1"/>
  <c r="M504" i="17"/>
  <c r="L504" i="17"/>
  <c r="O504" i="17" s="1"/>
  <c r="O503" i="17"/>
  <c r="N503" i="17"/>
  <c r="M503" i="17"/>
  <c r="M502" i="17" s="1"/>
  <c r="L503" i="17"/>
  <c r="P502" i="17"/>
  <c r="L502" i="17"/>
  <c r="O502" i="17" s="1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L477" i="17" s="1"/>
  <c r="O477" i="17" s="1"/>
  <c r="P478" i="17"/>
  <c r="O478" i="17"/>
  <c r="N477" i="17"/>
  <c r="M477" i="17"/>
  <c r="P477" i="17" s="1"/>
  <c r="P472" i="17"/>
  <c r="N472" i="17"/>
  <c r="L472" i="17"/>
  <c r="O472" i="17" s="1"/>
  <c r="P471" i="17"/>
  <c r="O471" i="17"/>
  <c r="N470" i="17"/>
  <c r="M470" i="17"/>
  <c r="P470" i="17" s="1"/>
  <c r="P469" i="17"/>
  <c r="N469" i="17"/>
  <c r="N467" i="17" s="1"/>
  <c r="M469" i="17"/>
  <c r="P468" i="17"/>
  <c r="O468" i="17"/>
  <c r="N468" i="17"/>
  <c r="M468" i="17"/>
  <c r="M467" i="17" s="1"/>
  <c r="P467" i="17" s="1"/>
  <c r="L468" i="17"/>
  <c r="J466" i="17"/>
  <c r="I466" i="17"/>
  <c r="J465" i="17"/>
  <c r="I465" i="17"/>
  <c r="K465" i="17" s="1"/>
  <c r="I464" i="17"/>
  <c r="I463" i="17"/>
  <c r="I462" i="17"/>
  <c r="K462" i="17" s="1"/>
  <c r="I460" i="17"/>
  <c r="K458" i="17"/>
  <c r="P456" i="17"/>
  <c r="L456" i="17"/>
  <c r="L454" i="17" s="1"/>
  <c r="O454" i="17" s="1"/>
  <c r="P455" i="17"/>
  <c r="O455" i="17"/>
  <c r="N454" i="17"/>
  <c r="M454" i="17"/>
  <c r="P454" i="17" s="1"/>
  <c r="P449" i="17"/>
  <c r="N449" i="17"/>
  <c r="N446" i="17" s="1"/>
  <c r="L449" i="17"/>
  <c r="P448" i="17"/>
  <c r="O448" i="17"/>
  <c r="N447" i="17"/>
  <c r="M447" i="17"/>
  <c r="P447" i="17" s="1"/>
  <c r="M446" i="17"/>
  <c r="P446" i="17" s="1"/>
  <c r="P445" i="17"/>
  <c r="N445" i="17"/>
  <c r="N444" i="17" s="1"/>
  <c r="M445" i="17"/>
  <c r="L445" i="17"/>
  <c r="M444" i="17"/>
  <c r="P444" i="17" s="1"/>
  <c r="J443" i="17"/>
  <c r="J442" i="17"/>
  <c r="I441" i="17"/>
  <c r="K441" i="17" s="1"/>
  <c r="I440" i="17"/>
  <c r="K440" i="17" s="1"/>
  <c r="I439" i="17"/>
  <c r="K439" i="17" s="1"/>
  <c r="I438" i="17"/>
  <c r="I437" i="17"/>
  <c r="K437" i="17" s="1"/>
  <c r="I435" i="17"/>
  <c r="J434" i="17"/>
  <c r="J418" i="17" s="1"/>
  <c r="P431" i="17"/>
  <c r="L431" i="17"/>
  <c r="P430" i="17"/>
  <c r="O430" i="17"/>
  <c r="N429" i="17"/>
  <c r="M429" i="17"/>
  <c r="P429" i="17" s="1"/>
  <c r="P424" i="17"/>
  <c r="N424" i="17"/>
  <c r="N421" i="17" s="1"/>
  <c r="L424" i="17"/>
  <c r="O424" i="17" s="1"/>
  <c r="P423" i="17"/>
  <c r="O423" i="17"/>
  <c r="N422" i="17"/>
  <c r="M422" i="17"/>
  <c r="P422" i="17" s="1"/>
  <c r="M421" i="17"/>
  <c r="P421" i="17" s="1"/>
  <c r="P420" i="17"/>
  <c r="N420" i="17"/>
  <c r="N419" i="17" s="1"/>
  <c r="M420" i="17"/>
  <c r="L420" i="17"/>
  <c r="M419" i="17"/>
  <c r="K413" i="17"/>
  <c r="K412" i="17"/>
  <c r="N410" i="17"/>
  <c r="N408" i="17" s="1"/>
  <c r="M410" i="17"/>
  <c r="M408" i="17" s="1"/>
  <c r="P408" i="17" s="1"/>
  <c r="L410" i="17"/>
  <c r="P409" i="17"/>
  <c r="O409" i="17"/>
  <c r="N407" i="17"/>
  <c r="M407" i="17"/>
  <c r="M405" i="17" s="1"/>
  <c r="P405" i="17" s="1"/>
  <c r="L407" i="17"/>
  <c r="O407" i="17" s="1"/>
  <c r="P406" i="17"/>
  <c r="O406" i="17"/>
  <c r="P403" i="17"/>
  <c r="O403" i="17"/>
  <c r="N403" i="17"/>
  <c r="M403" i="17"/>
  <c r="L403" i="17"/>
  <c r="K401" i="17"/>
  <c r="J401" i="17"/>
  <c r="I401" i="17"/>
  <c r="K400" i="17"/>
  <c r="K399" i="17"/>
  <c r="N397" i="17"/>
  <c r="N395" i="17" s="1"/>
  <c r="M397" i="17"/>
  <c r="P397" i="17" s="1"/>
  <c r="L397" i="17"/>
  <c r="O397" i="17" s="1"/>
  <c r="P396" i="17"/>
  <c r="O396" i="17"/>
  <c r="N394" i="17"/>
  <c r="M394" i="17"/>
  <c r="P394" i="17" s="1"/>
  <c r="L394" i="17"/>
  <c r="O394" i="17" s="1"/>
  <c r="P393" i="17"/>
  <c r="O393" i="17"/>
  <c r="N390" i="17"/>
  <c r="M390" i="17"/>
  <c r="L390" i="17"/>
  <c r="O390" i="17" s="1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L353" i="17"/>
  <c r="P352" i="17"/>
  <c r="O352" i="17"/>
  <c r="N350" i="17"/>
  <c r="M350" i="17"/>
  <c r="L350" i="17"/>
  <c r="P349" i="17"/>
  <c r="O349" i="17"/>
  <c r="P346" i="17"/>
  <c r="N346" i="17"/>
  <c r="M346" i="17"/>
  <c r="L346" i="17"/>
  <c r="O346" i="17" s="1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O336" i="17" s="1"/>
  <c r="P335" i="17"/>
  <c r="O335" i="17"/>
  <c r="N333" i="17"/>
  <c r="M333" i="17"/>
  <c r="M331" i="17" s="1"/>
  <c r="L333" i="17"/>
  <c r="P332" i="17"/>
  <c r="O332" i="17"/>
  <c r="P329" i="17"/>
  <c r="N329" i="17"/>
  <c r="M329" i="17"/>
  <c r="L329" i="17"/>
  <c r="I327" i="17"/>
  <c r="I325" i="17"/>
  <c r="K325" i="17" s="1"/>
  <c r="N323" i="17"/>
  <c r="N321" i="17" s="1"/>
  <c r="M323" i="17"/>
  <c r="M321" i="17" s="1"/>
  <c r="P321" i="17" s="1"/>
  <c r="L323" i="17"/>
  <c r="O323" i="17" s="1"/>
  <c r="P322" i="17"/>
  <c r="O322" i="17"/>
  <c r="N320" i="17"/>
  <c r="N318" i="17" s="1"/>
  <c r="M320" i="17"/>
  <c r="L320" i="17"/>
  <c r="P319" i="17"/>
  <c r="O319" i="17"/>
  <c r="P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L306" i="17"/>
  <c r="O306" i="17" s="1"/>
  <c r="P305" i="17"/>
  <c r="O305" i="17"/>
  <c r="N303" i="17"/>
  <c r="N301" i="17" s="1"/>
  <c r="M303" i="17"/>
  <c r="L303" i="17"/>
  <c r="P302" i="17"/>
  <c r="O302" i="17"/>
  <c r="P299" i="17"/>
  <c r="N299" i="17"/>
  <c r="M299" i="17"/>
  <c r="L299" i="17"/>
  <c r="O299" i="17" s="1"/>
  <c r="J297" i="17"/>
  <c r="I294" i="17"/>
  <c r="K294" i="17" s="1"/>
  <c r="I293" i="17"/>
  <c r="K293" i="17" s="1"/>
  <c r="I291" i="17"/>
  <c r="K291" i="17" s="1"/>
  <c r="I290" i="17"/>
  <c r="K290" i="17" s="1"/>
  <c r="I288" i="17"/>
  <c r="I287" i="17"/>
  <c r="I276" i="17" s="1"/>
  <c r="K276" i="17" s="1"/>
  <c r="N285" i="17"/>
  <c r="N283" i="17" s="1"/>
  <c r="M285" i="17"/>
  <c r="P285" i="17" s="1"/>
  <c r="L285" i="17"/>
  <c r="P284" i="17"/>
  <c r="O284" i="17"/>
  <c r="N282" i="17"/>
  <c r="N280" i="17" s="1"/>
  <c r="M282" i="17"/>
  <c r="L282" i="17"/>
  <c r="P281" i="17"/>
  <c r="O281" i="17"/>
  <c r="O278" i="17"/>
  <c r="N278" i="17"/>
  <c r="M278" i="17"/>
  <c r="P278" i="17" s="1"/>
  <c r="L278" i="17"/>
  <c r="J276" i="17"/>
  <c r="I271" i="17"/>
  <c r="K271" i="17" s="1"/>
  <c r="N269" i="17"/>
  <c r="M269" i="17"/>
  <c r="P269" i="17" s="1"/>
  <c r="L269" i="17"/>
  <c r="O269" i="17" s="1"/>
  <c r="P268" i="17"/>
  <c r="O268" i="17"/>
  <c r="N266" i="17"/>
  <c r="N264" i="17" s="1"/>
  <c r="M266" i="17"/>
  <c r="L266" i="17"/>
  <c r="L264" i="17" s="1"/>
  <c r="P265" i="17"/>
  <c r="O265" i="17"/>
  <c r="P262" i="17"/>
  <c r="N262" i="17"/>
  <c r="M262" i="17"/>
  <c r="L262" i="17"/>
  <c r="O262" i="17" s="1"/>
  <c r="J260" i="17"/>
  <c r="K258" i="17"/>
  <c r="K257" i="17"/>
  <c r="I255" i="17"/>
  <c r="K255" i="17" s="1"/>
  <c r="L253" i="17"/>
  <c r="L252" i="17"/>
  <c r="L251" i="17"/>
  <c r="L250" i="17"/>
  <c r="P249" i="17"/>
  <c r="N249" i="17"/>
  <c r="J248" i="17"/>
  <c r="J226" i="17" s="1"/>
  <c r="J180" i="17" s="1"/>
  <c r="K247" i="17"/>
  <c r="K246" i="17"/>
  <c r="I244" i="17"/>
  <c r="I237" i="17" s="1"/>
  <c r="L242" i="17"/>
  <c r="L241" i="17"/>
  <c r="L240" i="17"/>
  <c r="L239" i="17"/>
  <c r="P238" i="17"/>
  <c r="N238" i="17"/>
  <c r="J237" i="17"/>
  <c r="J236" i="17"/>
  <c r="I236" i="17"/>
  <c r="K236" i="17" s="1"/>
  <c r="J235" i="17"/>
  <c r="I235" i="17"/>
  <c r="K235" i="17" s="1"/>
  <c r="J233" i="17"/>
  <c r="N231" i="17"/>
  <c r="N230" i="17"/>
  <c r="N229" i="17"/>
  <c r="N228" i="17"/>
  <c r="N227" i="17"/>
  <c r="I225" i="17"/>
  <c r="K225" i="17" s="1"/>
  <c r="I224" i="17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L189" i="17"/>
  <c r="P188" i="17"/>
  <c r="O188" i="17"/>
  <c r="N186" i="17"/>
  <c r="M186" i="17"/>
  <c r="L186" i="17"/>
  <c r="L184" i="17" s="1"/>
  <c r="P185" i="17"/>
  <c r="O185" i="17"/>
  <c r="P182" i="17"/>
  <c r="N182" i="17"/>
  <c r="M182" i="17"/>
  <c r="L182" i="17"/>
  <c r="J177" i="17"/>
  <c r="I176" i="17"/>
  <c r="K176" i="17" s="1"/>
  <c r="J174" i="17"/>
  <c r="N173" i="17"/>
  <c r="N171" i="17" s="1"/>
  <c r="M173" i="17"/>
  <c r="L173" i="17"/>
  <c r="O173" i="17" s="1"/>
  <c r="P172" i="17"/>
  <c r="O172" i="17"/>
  <c r="N170" i="17"/>
  <c r="N168" i="17" s="1"/>
  <c r="M170" i="17"/>
  <c r="L170" i="17"/>
  <c r="P169" i="17"/>
  <c r="O169" i="17"/>
  <c r="P166" i="17"/>
  <c r="N166" i="17"/>
  <c r="M166" i="17"/>
  <c r="L166" i="17"/>
  <c r="J164" i="17"/>
  <c r="I159" i="17"/>
  <c r="K159" i="17" s="1"/>
  <c r="N157" i="17"/>
  <c r="N155" i="17" s="1"/>
  <c r="M157" i="17"/>
  <c r="L157" i="17"/>
  <c r="P156" i="17"/>
  <c r="O156" i="17"/>
  <c r="N154" i="17"/>
  <c r="N152" i="17" s="1"/>
  <c r="M154" i="17"/>
  <c r="L154" i="17"/>
  <c r="O154" i="17" s="1"/>
  <c r="P153" i="17"/>
  <c r="O153" i="17"/>
  <c r="P150" i="17"/>
  <c r="N150" i="17"/>
  <c r="M150" i="17"/>
  <c r="L150" i="17"/>
  <c r="O150" i="17" s="1"/>
  <c r="J148" i="17"/>
  <c r="I146" i="17"/>
  <c r="K146" i="17" s="1"/>
  <c r="I145" i="17"/>
  <c r="I143" i="17" s="1"/>
  <c r="K143" i="17" s="1"/>
  <c r="I144" i="17"/>
  <c r="K144" i="17" s="1"/>
  <c r="N140" i="17"/>
  <c r="N138" i="17" s="1"/>
  <c r="M140" i="17"/>
  <c r="L140" i="17"/>
  <c r="O140" i="17" s="1"/>
  <c r="P139" i="17"/>
  <c r="O139" i="17"/>
  <c r="N137" i="17"/>
  <c r="N135" i="17" s="1"/>
  <c r="M137" i="17"/>
  <c r="L137" i="17"/>
  <c r="L135" i="17" s="1"/>
  <c r="O135" i="17" s="1"/>
  <c r="P136" i="17"/>
  <c r="O136" i="17"/>
  <c r="O133" i="17"/>
  <c r="N133" i="17"/>
  <c r="M133" i="17"/>
  <c r="L133" i="17"/>
  <c r="J130" i="17"/>
  <c r="N127" i="17"/>
  <c r="N125" i="17" s="1"/>
  <c r="M127" i="17"/>
  <c r="L127" i="17"/>
  <c r="O127" i="17" s="1"/>
  <c r="P126" i="17"/>
  <c r="O126" i="17"/>
  <c r="N124" i="17"/>
  <c r="N122" i="17" s="1"/>
  <c r="M124" i="17"/>
  <c r="L124" i="17"/>
  <c r="L122" i="17" s="1"/>
  <c r="O122" i="17" s="1"/>
  <c r="P123" i="17"/>
  <c r="O123" i="17"/>
  <c r="N120" i="17"/>
  <c r="M120" i="17"/>
  <c r="P120" i="17" s="1"/>
  <c r="L120" i="17"/>
  <c r="O120" i="17" s="1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K99" i="17" s="1"/>
  <c r="J98" i="17"/>
  <c r="I98" i="17"/>
  <c r="I86" i="17" s="1"/>
  <c r="N96" i="17"/>
  <c r="M96" i="17"/>
  <c r="L96" i="17"/>
  <c r="O96" i="17" s="1"/>
  <c r="P95" i="17"/>
  <c r="O95" i="17"/>
  <c r="N93" i="17"/>
  <c r="N91" i="17" s="1"/>
  <c r="M93" i="17"/>
  <c r="L93" i="17"/>
  <c r="L91" i="17" s="1"/>
  <c r="P92" i="17"/>
  <c r="O92" i="17"/>
  <c r="P89" i="17"/>
  <c r="N89" i="17"/>
  <c r="M89" i="17"/>
  <c r="L89" i="17"/>
  <c r="J87" i="17"/>
  <c r="I87" i="17"/>
  <c r="J86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K79" i="17" s="1"/>
  <c r="I78" i="17"/>
  <c r="K78" i="17" s="1"/>
  <c r="J77" i="17"/>
  <c r="J76" i="17"/>
  <c r="J64" i="17" s="1"/>
  <c r="N74" i="17"/>
  <c r="N72" i="17" s="1"/>
  <c r="M74" i="17"/>
  <c r="P74" i="17" s="1"/>
  <c r="L74" i="17"/>
  <c r="L72" i="17" s="1"/>
  <c r="O72" i="17" s="1"/>
  <c r="P73" i="17"/>
  <c r="O73" i="17"/>
  <c r="N71" i="17"/>
  <c r="N69" i="17" s="1"/>
  <c r="M71" i="17"/>
  <c r="P71" i="17" s="1"/>
  <c r="L71" i="17"/>
  <c r="O71" i="17" s="1"/>
  <c r="P70" i="17"/>
  <c r="O70" i="17"/>
  <c r="O67" i="17"/>
  <c r="N67" i="17"/>
  <c r="M67" i="17"/>
  <c r="L67" i="17"/>
  <c r="J65" i="17"/>
  <c r="N61" i="17"/>
  <c r="N59" i="17" s="1"/>
  <c r="M61" i="17"/>
  <c r="M59" i="17" s="1"/>
  <c r="L61" i="17"/>
  <c r="L59" i="17" s="1"/>
  <c r="P60" i="17"/>
  <c r="O60" i="17"/>
  <c r="N58" i="17"/>
  <c r="M58" i="17"/>
  <c r="M56" i="17" s="1"/>
  <c r="L58" i="17"/>
  <c r="L56" i="17" s="1"/>
  <c r="P57" i="17"/>
  <c r="O57" i="17"/>
  <c r="P54" i="17"/>
  <c r="N54" i="17"/>
  <c r="M54" i="17"/>
  <c r="L54" i="17"/>
  <c r="O54" i="17" s="1"/>
  <c r="N49" i="17"/>
  <c r="N47" i="17" s="1"/>
  <c r="M49" i="17"/>
  <c r="M47" i="17" s="1"/>
  <c r="P47" i="17" s="1"/>
  <c r="L49" i="17"/>
  <c r="O49" i="17" s="1"/>
  <c r="P48" i="17"/>
  <c r="O48" i="17"/>
  <c r="N46" i="17"/>
  <c r="M46" i="17"/>
  <c r="L46" i="17"/>
  <c r="L44" i="17" s="1"/>
  <c r="P45" i="17"/>
  <c r="O45" i="17"/>
  <c r="O42" i="17"/>
  <c r="N42" i="17"/>
  <c r="M42" i="17"/>
  <c r="L42" i="17"/>
  <c r="P36" i="17"/>
  <c r="N36" i="17"/>
  <c r="N30" i="17" s="1"/>
  <c r="M36" i="17"/>
  <c r="N35" i="17"/>
  <c r="N34" i="17" s="1"/>
  <c r="M35" i="17"/>
  <c r="P35" i="17" s="1"/>
  <c r="L35" i="17"/>
  <c r="O35" i="17" s="1"/>
  <c r="M34" i="17"/>
  <c r="P34" i="17" s="1"/>
  <c r="N33" i="17"/>
  <c r="M33" i="17"/>
  <c r="P33" i="17" s="1"/>
  <c r="P32" i="17"/>
  <c r="N32" i="17"/>
  <c r="N29" i="17" s="1"/>
  <c r="M32" i="17"/>
  <c r="L32" i="17"/>
  <c r="M31" i="17"/>
  <c r="P31" i="17" s="1"/>
  <c r="M30" i="17"/>
  <c r="P30" i="17" s="1"/>
  <c r="M29" i="17"/>
  <c r="P29" i="17" s="1"/>
  <c r="M28" i="17"/>
  <c r="P28" i="17" s="1"/>
  <c r="P25" i="17"/>
  <c r="N25" i="17"/>
  <c r="M25" i="17"/>
  <c r="L25" i="17"/>
  <c r="L19" i="17" s="1"/>
  <c r="O22" i="17"/>
  <c r="N22" i="17"/>
  <c r="M22" i="17"/>
  <c r="L22" i="17"/>
  <c r="N19" i="17"/>
  <c r="N15" i="17"/>
  <c r="M15" i="17"/>
  <c r="P15" i="17" s="1"/>
  <c r="L15" i="17"/>
  <c r="O15" i="17" s="1"/>
  <c r="L12" i="17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N807" i="16" s="1"/>
  <c r="N805" i="16" s="1"/>
  <c r="P809" i="16"/>
  <c r="O809" i="16"/>
  <c r="N808" i="16"/>
  <c r="M808" i="16"/>
  <c r="P808" i="16" s="1"/>
  <c r="L808" i="16"/>
  <c r="O808" i="16" s="1"/>
  <c r="M807" i="16"/>
  <c r="L807" i="16"/>
  <c r="O807" i="16" s="1"/>
  <c r="P806" i="16"/>
  <c r="N806" i="16"/>
  <c r="M806" i="16"/>
  <c r="L806" i="16"/>
  <c r="K804" i="16"/>
  <c r="J804" i="16"/>
  <c r="K802" i="16"/>
  <c r="J801" i="16"/>
  <c r="J800" i="16"/>
  <c r="J785" i="16" s="1"/>
  <c r="I800" i="16"/>
  <c r="P798" i="16"/>
  <c r="O798" i="16"/>
  <c r="P797" i="16"/>
  <c r="O797" i="16"/>
  <c r="O796" i="16"/>
  <c r="N796" i="16"/>
  <c r="M796" i="16"/>
  <c r="P796" i="16" s="1"/>
  <c r="L796" i="16"/>
  <c r="P791" i="16"/>
  <c r="N791" i="16"/>
  <c r="N788" i="16" s="1"/>
  <c r="N786" i="16" s="1"/>
  <c r="L791" i="16"/>
  <c r="L788" i="16" s="1"/>
  <c r="O788" i="16" s="1"/>
  <c r="P790" i="16"/>
  <c r="O790" i="16"/>
  <c r="M789" i="16"/>
  <c r="P789" i="16" s="1"/>
  <c r="M788" i="16"/>
  <c r="P787" i="16"/>
  <c r="N787" i="16"/>
  <c r="M787" i="16"/>
  <c r="L787" i="16"/>
  <c r="P782" i="16"/>
  <c r="O782" i="16"/>
  <c r="P781" i="16"/>
  <c r="O781" i="16"/>
  <c r="P780" i="16"/>
  <c r="O780" i="16"/>
  <c r="N780" i="16"/>
  <c r="M780" i="16"/>
  <c r="L780" i="16"/>
  <c r="P775" i="16"/>
  <c r="O775" i="16"/>
  <c r="N775" i="16"/>
  <c r="P774" i="16"/>
  <c r="O774" i="16"/>
  <c r="O773" i="16"/>
  <c r="N773" i="16"/>
  <c r="M773" i="16"/>
  <c r="P773" i="16" s="1"/>
  <c r="L773" i="16"/>
  <c r="N772" i="16"/>
  <c r="N770" i="16" s="1"/>
  <c r="M772" i="16"/>
  <c r="P772" i="16" s="1"/>
  <c r="L772" i="16"/>
  <c r="O772" i="16" s="1"/>
  <c r="N771" i="16"/>
  <c r="M771" i="16"/>
  <c r="L771" i="16"/>
  <c r="O771" i="16" s="1"/>
  <c r="K769" i="16"/>
  <c r="J769" i="16"/>
  <c r="P766" i="16"/>
  <c r="O766" i="16"/>
  <c r="P765" i="16"/>
  <c r="O765" i="16"/>
  <c r="P764" i="16"/>
  <c r="O764" i="16"/>
  <c r="N764" i="16"/>
  <c r="M764" i="16"/>
  <c r="L764" i="16"/>
  <c r="P759" i="16"/>
  <c r="O759" i="16"/>
  <c r="N759" i="16"/>
  <c r="P758" i="16"/>
  <c r="O758" i="16"/>
  <c r="O757" i="16"/>
  <c r="N757" i="16"/>
  <c r="M757" i="16"/>
  <c r="P757" i="16" s="1"/>
  <c r="L757" i="16"/>
  <c r="N756" i="16"/>
  <c r="N754" i="16" s="1"/>
  <c r="M756" i="16"/>
  <c r="P756" i="16" s="1"/>
  <c r="L756" i="16"/>
  <c r="O756" i="16" s="1"/>
  <c r="N755" i="16"/>
  <c r="M755" i="16"/>
  <c r="L755" i="16"/>
  <c r="K753" i="16"/>
  <c r="J753" i="16"/>
  <c r="P749" i="16"/>
  <c r="O749" i="16"/>
  <c r="P748" i="16"/>
  <c r="O748" i="16"/>
  <c r="P747" i="16"/>
  <c r="O747" i="16"/>
  <c r="N747" i="16"/>
  <c r="M747" i="16"/>
  <c r="L747" i="16"/>
  <c r="P742" i="16"/>
  <c r="O742" i="16"/>
  <c r="N742" i="16"/>
  <c r="P741" i="16"/>
  <c r="O741" i="16"/>
  <c r="O740" i="16"/>
  <c r="N740" i="16"/>
  <c r="M740" i="16"/>
  <c r="P740" i="16" s="1"/>
  <c r="L740" i="16"/>
  <c r="N739" i="16"/>
  <c r="N737" i="16" s="1"/>
  <c r="M739" i="16"/>
  <c r="P739" i="16" s="1"/>
  <c r="L739" i="16"/>
  <c r="O739" i="16" s="1"/>
  <c r="N738" i="16"/>
  <c r="M738" i="16"/>
  <c r="L738" i="16"/>
  <c r="O738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K700" i="16" s="1"/>
  <c r="J699" i="16"/>
  <c r="I699" i="16"/>
  <c r="K699" i="16" s="1"/>
  <c r="P697" i="16"/>
  <c r="O697" i="16"/>
  <c r="P696" i="16"/>
  <c r="O696" i="16"/>
  <c r="P695" i="16"/>
  <c r="O695" i="16"/>
  <c r="N695" i="16"/>
  <c r="M695" i="16"/>
  <c r="L695" i="16"/>
  <c r="P690" i="16"/>
  <c r="N690" i="16"/>
  <c r="N687" i="16" s="1"/>
  <c r="N685" i="16" s="1"/>
  <c r="L690" i="16"/>
  <c r="L687" i="16" s="1"/>
  <c r="O687" i="16" s="1"/>
  <c r="N688" i="16"/>
  <c r="M688" i="16"/>
  <c r="P688" i="16" s="1"/>
  <c r="M687" i="16"/>
  <c r="P686" i="16"/>
  <c r="N686" i="16"/>
  <c r="M686" i="16"/>
  <c r="L686" i="16"/>
  <c r="J679" i="16"/>
  <c r="J678" i="16" s="1"/>
  <c r="I678" i="16"/>
  <c r="K678" i="16" s="1"/>
  <c r="J675" i="16"/>
  <c r="I671" i="16"/>
  <c r="K671" i="16" s="1"/>
  <c r="I670" i="16"/>
  <c r="K670" i="16" s="1"/>
  <c r="J669" i="16"/>
  <c r="J654" i="16" s="1"/>
  <c r="I669" i="16"/>
  <c r="K675" i="16" s="1"/>
  <c r="P667" i="16"/>
  <c r="O667" i="16"/>
  <c r="P666" i="16"/>
  <c r="O666" i="16"/>
  <c r="P665" i="16"/>
  <c r="N665" i="16"/>
  <c r="M665" i="16"/>
  <c r="L665" i="16"/>
  <c r="O665" i="16" s="1"/>
  <c r="P660" i="16"/>
  <c r="N660" i="16"/>
  <c r="L660" i="16"/>
  <c r="L658" i="16" s="1"/>
  <c r="O658" i="16" s="1"/>
  <c r="P659" i="16"/>
  <c r="O659" i="16"/>
  <c r="P658" i="16"/>
  <c r="N658" i="16"/>
  <c r="M658" i="16"/>
  <c r="P657" i="16"/>
  <c r="N657" i="16"/>
  <c r="M657" i="16"/>
  <c r="O656" i="16"/>
  <c r="N656" i="16"/>
  <c r="M656" i="16"/>
  <c r="P656" i="16" s="1"/>
  <c r="L656" i="16"/>
  <c r="N655" i="16"/>
  <c r="M655" i="16"/>
  <c r="P655" i="16" s="1"/>
  <c r="K652" i="16"/>
  <c r="J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L639" i="16" s="1"/>
  <c r="O639" i="16" s="1"/>
  <c r="P640" i="16"/>
  <c r="O640" i="16"/>
  <c r="N639" i="16"/>
  <c r="M639" i="16"/>
  <c r="P639" i="16" s="1"/>
  <c r="P634" i="16"/>
  <c r="N634" i="16"/>
  <c r="L634" i="16"/>
  <c r="O634" i="16" s="1"/>
  <c r="P633" i="16"/>
  <c r="O633" i="16"/>
  <c r="N632" i="16"/>
  <c r="M632" i="16"/>
  <c r="P632" i="16" s="1"/>
  <c r="P631" i="16"/>
  <c r="N631" i="16"/>
  <c r="M631" i="16"/>
  <c r="P630" i="16"/>
  <c r="O630" i="16"/>
  <c r="N630" i="16"/>
  <c r="M630" i="16"/>
  <c r="L630" i="16"/>
  <c r="P629" i="16"/>
  <c r="N629" i="16"/>
  <c r="M629" i="16"/>
  <c r="J621" i="16"/>
  <c r="I621" i="16"/>
  <c r="K621" i="16" s="1"/>
  <c r="J620" i="16"/>
  <c r="I620" i="16"/>
  <c r="K613" i="16"/>
  <c r="J613" i="16"/>
  <c r="K612" i="16"/>
  <c r="J612" i="16"/>
  <c r="K611" i="16"/>
  <c r="J611" i="16"/>
  <c r="J604" i="16"/>
  <c r="J603" i="16"/>
  <c r="J593" i="16" s="1"/>
  <c r="J596" i="16"/>
  <c r="J595" i="16"/>
  <c r="J594" i="16"/>
  <c r="I594" i="16"/>
  <c r="K594" i="16" s="1"/>
  <c r="I593" i="16"/>
  <c r="I592" i="16" s="1"/>
  <c r="J583" i="16"/>
  <c r="J582" i="16"/>
  <c r="J577" i="16"/>
  <c r="I577" i="16"/>
  <c r="J576" i="16"/>
  <c r="I576" i="16"/>
  <c r="K576" i="16" s="1"/>
  <c r="J569" i="16"/>
  <c r="I569" i="16"/>
  <c r="K569" i="16" s="1"/>
  <c r="J568" i="16"/>
  <c r="I568" i="16"/>
  <c r="K568" i="16" s="1"/>
  <c r="J561" i="16"/>
  <c r="I561" i="16"/>
  <c r="J560" i="16"/>
  <c r="I560" i="16"/>
  <c r="K560" i="16" s="1"/>
  <c r="J559" i="16"/>
  <c r="J543" i="16" s="1"/>
  <c r="P557" i="16"/>
  <c r="L557" i="16"/>
  <c r="L555" i="16" s="1"/>
  <c r="O555" i="16" s="1"/>
  <c r="P556" i="16"/>
  <c r="O556" i="16"/>
  <c r="P555" i="16"/>
  <c r="N555" i="16"/>
  <c r="M555" i="16"/>
  <c r="P549" i="16"/>
  <c r="N549" i="16"/>
  <c r="L549" i="16"/>
  <c r="L547" i="16" s="1"/>
  <c r="O547" i="16" s="1"/>
  <c r="P548" i="16"/>
  <c r="O548" i="16"/>
  <c r="P547" i="16"/>
  <c r="N547" i="16"/>
  <c r="M547" i="16"/>
  <c r="N546" i="16"/>
  <c r="M546" i="16"/>
  <c r="P546" i="16" s="1"/>
  <c r="N545" i="16"/>
  <c r="M545" i="16"/>
  <c r="P545" i="16" s="1"/>
  <c r="L545" i="16"/>
  <c r="O545" i="16" s="1"/>
  <c r="M544" i="16"/>
  <c r="P544" i="16" s="1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K537" i="16" s="1"/>
  <c r="P535" i="16"/>
  <c r="L535" i="16"/>
  <c r="L533" i="16" s="1"/>
  <c r="O533" i="16" s="1"/>
  <c r="P534" i="16"/>
  <c r="O534" i="16"/>
  <c r="N533" i="16"/>
  <c r="M533" i="16"/>
  <c r="P533" i="16" s="1"/>
  <c r="P528" i="16"/>
  <c r="N528" i="16"/>
  <c r="N525" i="16" s="1"/>
  <c r="N523" i="16" s="1"/>
  <c r="L528" i="16"/>
  <c r="P527" i="16"/>
  <c r="O527" i="16"/>
  <c r="M526" i="16"/>
  <c r="P526" i="16" s="1"/>
  <c r="M525" i="16"/>
  <c r="P524" i="16"/>
  <c r="N524" i="16"/>
  <c r="M524" i="16"/>
  <c r="L524" i="16"/>
  <c r="K517" i="16"/>
  <c r="J517" i="16"/>
  <c r="J501" i="16" s="1"/>
  <c r="K516" i="16"/>
  <c r="P514" i="16"/>
  <c r="O514" i="16"/>
  <c r="P513" i="16"/>
  <c r="O513" i="16"/>
  <c r="N512" i="16"/>
  <c r="M512" i="16"/>
  <c r="P512" i="16" s="1"/>
  <c r="L512" i="16"/>
  <c r="O512" i="16" s="1"/>
  <c r="P507" i="16"/>
  <c r="O507" i="16"/>
  <c r="N507" i="16"/>
  <c r="P506" i="16"/>
  <c r="O506" i="16"/>
  <c r="P505" i="16"/>
  <c r="N505" i="16"/>
  <c r="M505" i="16"/>
  <c r="L505" i="16"/>
  <c r="O505" i="16" s="1"/>
  <c r="P504" i="16"/>
  <c r="O504" i="16"/>
  <c r="N504" i="16"/>
  <c r="M504" i="16"/>
  <c r="L504" i="16"/>
  <c r="P503" i="16"/>
  <c r="O503" i="16"/>
  <c r="N503" i="16"/>
  <c r="M503" i="16"/>
  <c r="L503" i="16"/>
  <c r="O502" i="16"/>
  <c r="N502" i="16"/>
  <c r="M502" i="16"/>
  <c r="P502" i="16" s="1"/>
  <c r="L502" i="16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L477" i="16" s="1"/>
  <c r="O477" i="16" s="1"/>
  <c r="P478" i="16"/>
  <c r="O478" i="16"/>
  <c r="N477" i="16"/>
  <c r="M477" i="16"/>
  <c r="P477" i="16" s="1"/>
  <c r="P472" i="16"/>
  <c r="N472" i="16"/>
  <c r="L472" i="16"/>
  <c r="O472" i="16" s="1"/>
  <c r="P471" i="16"/>
  <c r="O471" i="16"/>
  <c r="P470" i="16"/>
  <c r="N470" i="16"/>
  <c r="M470" i="16"/>
  <c r="L470" i="16"/>
  <c r="O470" i="16" s="1"/>
  <c r="P469" i="16"/>
  <c r="N469" i="16"/>
  <c r="M469" i="16"/>
  <c r="P468" i="16"/>
  <c r="O468" i="16"/>
  <c r="N468" i="16"/>
  <c r="M468" i="16"/>
  <c r="L468" i="16"/>
  <c r="N467" i="16"/>
  <c r="M467" i="16"/>
  <c r="P467" i="16" s="1"/>
  <c r="J466" i="16"/>
  <c r="I466" i="16"/>
  <c r="K466" i="16" s="1"/>
  <c r="J465" i="16"/>
  <c r="I465" i="16"/>
  <c r="K465" i="16" s="1"/>
  <c r="I464" i="16"/>
  <c r="I463" i="16"/>
  <c r="I462" i="16"/>
  <c r="I460" i="16"/>
  <c r="K460" i="16" s="1"/>
  <c r="K458" i="16"/>
  <c r="P456" i="16"/>
  <c r="L456" i="16"/>
  <c r="P455" i="16"/>
  <c r="O455" i="16"/>
  <c r="N454" i="16"/>
  <c r="M454" i="16"/>
  <c r="P454" i="16" s="1"/>
  <c r="P449" i="16"/>
  <c r="N449" i="16"/>
  <c r="L449" i="16"/>
  <c r="O449" i="16" s="1"/>
  <c r="P448" i="16"/>
  <c r="O448" i="16"/>
  <c r="N447" i="16"/>
  <c r="M447" i="16"/>
  <c r="P447" i="16" s="1"/>
  <c r="P446" i="16"/>
  <c r="N446" i="16"/>
  <c r="M446" i="16"/>
  <c r="P445" i="16"/>
  <c r="O445" i="16"/>
  <c r="N445" i="16"/>
  <c r="N444" i="16" s="1"/>
  <c r="M445" i="16"/>
  <c r="L445" i="16"/>
  <c r="P444" i="16"/>
  <c r="M444" i="16"/>
  <c r="J443" i="16"/>
  <c r="J442" i="16"/>
  <c r="I441" i="16"/>
  <c r="K441" i="16" s="1"/>
  <c r="I440" i="16"/>
  <c r="I439" i="16"/>
  <c r="K439" i="16" s="1"/>
  <c r="I438" i="16"/>
  <c r="K438" i="16" s="1"/>
  <c r="I437" i="16"/>
  <c r="K437" i="16" s="1"/>
  <c r="I435" i="16"/>
  <c r="I433" i="16" s="1"/>
  <c r="I417" i="16" s="1"/>
  <c r="J434" i="16"/>
  <c r="P431" i="16"/>
  <c r="L431" i="16"/>
  <c r="P430" i="16"/>
  <c r="O430" i="16"/>
  <c r="N429" i="16"/>
  <c r="M429" i="16"/>
  <c r="P429" i="16" s="1"/>
  <c r="P424" i="16"/>
  <c r="N424" i="16"/>
  <c r="L424" i="16"/>
  <c r="O424" i="16" s="1"/>
  <c r="P423" i="16"/>
  <c r="O423" i="16"/>
  <c r="N422" i="16"/>
  <c r="M422" i="16"/>
  <c r="P422" i="16" s="1"/>
  <c r="P421" i="16"/>
  <c r="N421" i="16"/>
  <c r="M421" i="16"/>
  <c r="P420" i="16"/>
  <c r="O420" i="16"/>
  <c r="N420" i="16"/>
  <c r="N419" i="16" s="1"/>
  <c r="M420" i="16"/>
  <c r="L420" i="16"/>
  <c r="P419" i="16"/>
  <c r="M419" i="16"/>
  <c r="J418" i="16"/>
  <c r="K413" i="16"/>
  <c r="K412" i="16"/>
  <c r="N410" i="16"/>
  <c r="N408" i="16" s="1"/>
  <c r="M410" i="16"/>
  <c r="M408" i="16" s="1"/>
  <c r="P408" i="16" s="1"/>
  <c r="L410" i="16"/>
  <c r="L408" i="16" s="1"/>
  <c r="O408" i="16" s="1"/>
  <c r="P409" i="16"/>
  <c r="O409" i="16"/>
  <c r="N407" i="16"/>
  <c r="M407" i="16"/>
  <c r="L407" i="16"/>
  <c r="L405" i="16" s="1"/>
  <c r="O405" i="16" s="1"/>
  <c r="P406" i="16"/>
  <c r="O406" i="16"/>
  <c r="O403" i="16"/>
  <c r="N403" i="16"/>
  <c r="M403" i="16"/>
  <c r="P403" i="16" s="1"/>
  <c r="L403" i="16"/>
  <c r="K401" i="16"/>
  <c r="J401" i="16"/>
  <c r="I401" i="16"/>
  <c r="K400" i="16"/>
  <c r="K399" i="16"/>
  <c r="N397" i="16"/>
  <c r="N395" i="16" s="1"/>
  <c r="M397" i="16"/>
  <c r="P397" i="16" s="1"/>
  <c r="L397" i="16"/>
  <c r="O397" i="16" s="1"/>
  <c r="P396" i="16"/>
  <c r="O396" i="16"/>
  <c r="N394" i="16"/>
  <c r="N392" i="16" s="1"/>
  <c r="M394" i="16"/>
  <c r="P394" i="16" s="1"/>
  <c r="L394" i="16"/>
  <c r="L392" i="16" s="1"/>
  <c r="O392" i="16" s="1"/>
  <c r="P393" i="16"/>
  <c r="O393" i="16"/>
  <c r="P390" i="16"/>
  <c r="O390" i="16"/>
  <c r="N390" i="16"/>
  <c r="M390" i="16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M351" i="16" s="1"/>
  <c r="L353" i="16"/>
  <c r="P352" i="16"/>
  <c r="O352" i="16"/>
  <c r="N350" i="16"/>
  <c r="N348" i="16" s="1"/>
  <c r="M350" i="16"/>
  <c r="L350" i="16"/>
  <c r="L348" i="16" s="1"/>
  <c r="P349" i="16"/>
  <c r="O349" i="16"/>
  <c r="O346" i="16"/>
  <c r="N346" i="16"/>
  <c r="M346" i="16"/>
  <c r="P346" i="16" s="1"/>
  <c r="L346" i="16"/>
  <c r="J343" i="16"/>
  <c r="J342" i="16"/>
  <c r="J341" i="16"/>
  <c r="J340" i="16"/>
  <c r="I340" i="16"/>
  <c r="J338" i="16"/>
  <c r="I338" i="16"/>
  <c r="N336" i="16"/>
  <c r="N334" i="16" s="1"/>
  <c r="M336" i="16"/>
  <c r="M334" i="16" s="1"/>
  <c r="P334" i="16" s="1"/>
  <c r="L336" i="16"/>
  <c r="O336" i="16" s="1"/>
  <c r="P335" i="16"/>
  <c r="O335" i="16"/>
  <c r="N333" i="16"/>
  <c r="N331" i="16" s="1"/>
  <c r="M333" i="16"/>
  <c r="L333" i="16"/>
  <c r="P332" i="16"/>
  <c r="O332" i="16"/>
  <c r="P329" i="16"/>
  <c r="O329" i="16"/>
  <c r="N329" i="16"/>
  <c r="M329" i="16"/>
  <c r="L329" i="16"/>
  <c r="I327" i="16"/>
  <c r="I325" i="16"/>
  <c r="K325" i="16" s="1"/>
  <c r="N323" i="16"/>
  <c r="N321" i="16" s="1"/>
  <c r="M323" i="16"/>
  <c r="P323" i="16" s="1"/>
  <c r="L323" i="16"/>
  <c r="O323" i="16" s="1"/>
  <c r="P322" i="16"/>
  <c r="O322" i="16"/>
  <c r="N320" i="16"/>
  <c r="M320" i="16"/>
  <c r="M318" i="16" s="1"/>
  <c r="P318" i="16" s="1"/>
  <c r="L320" i="16"/>
  <c r="O320" i="16" s="1"/>
  <c r="P319" i="16"/>
  <c r="O319" i="16"/>
  <c r="P316" i="16"/>
  <c r="N316" i="16"/>
  <c r="M316" i="16"/>
  <c r="L316" i="16"/>
  <c r="O316" i="16" s="1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P306" i="16" s="1"/>
  <c r="L306" i="16"/>
  <c r="P305" i="16"/>
  <c r="O305" i="16"/>
  <c r="N303" i="16"/>
  <c r="M303" i="16"/>
  <c r="L303" i="16"/>
  <c r="L301" i="16" s="1"/>
  <c r="P302" i="16"/>
  <c r="O302" i="16"/>
  <c r="N299" i="16"/>
  <c r="M299" i="16"/>
  <c r="P299" i="16" s="1"/>
  <c r="L299" i="16"/>
  <c r="O299" i="16" s="1"/>
  <c r="J297" i="16"/>
  <c r="I294" i="16"/>
  <c r="K294" i="16" s="1"/>
  <c r="I293" i="16"/>
  <c r="K293" i="16" s="1"/>
  <c r="I291" i="16"/>
  <c r="K291" i="16" s="1"/>
  <c r="I290" i="16"/>
  <c r="K290" i="16" s="1"/>
  <c r="I288" i="16"/>
  <c r="J288" i="16" s="1"/>
  <c r="J275" i="16" s="1"/>
  <c r="I287" i="16"/>
  <c r="K287" i="16" s="1"/>
  <c r="N285" i="16"/>
  <c r="N283" i="16" s="1"/>
  <c r="M285" i="16"/>
  <c r="M283" i="16" s="1"/>
  <c r="P283" i="16" s="1"/>
  <c r="L285" i="16"/>
  <c r="O285" i="16" s="1"/>
  <c r="P284" i="16"/>
  <c r="O284" i="16"/>
  <c r="N282" i="16"/>
  <c r="M282" i="16"/>
  <c r="M280" i="16" s="1"/>
  <c r="L282" i="16"/>
  <c r="P281" i="16"/>
  <c r="O281" i="16"/>
  <c r="O278" i="16"/>
  <c r="N278" i="16"/>
  <c r="M278" i="16"/>
  <c r="L278" i="16"/>
  <c r="J276" i="16"/>
  <c r="I271" i="16"/>
  <c r="K271" i="16" s="1"/>
  <c r="N269" i="16"/>
  <c r="N267" i="16" s="1"/>
  <c r="M269" i="16"/>
  <c r="L269" i="16"/>
  <c r="O269" i="16" s="1"/>
  <c r="P268" i="16"/>
  <c r="O268" i="16"/>
  <c r="N266" i="16"/>
  <c r="N264" i="16" s="1"/>
  <c r="M266" i="16"/>
  <c r="L266" i="16"/>
  <c r="P265" i="16"/>
  <c r="O265" i="16"/>
  <c r="P262" i="16"/>
  <c r="N262" i="16"/>
  <c r="M262" i="16"/>
  <c r="L262" i="16"/>
  <c r="J260" i="16"/>
  <c r="K258" i="16"/>
  <c r="K257" i="16"/>
  <c r="I255" i="16"/>
  <c r="L253" i="16"/>
  <c r="L252" i="16"/>
  <c r="L251" i="16"/>
  <c r="L250" i="16"/>
  <c r="P249" i="16"/>
  <c r="N249" i="16"/>
  <c r="J248" i="16"/>
  <c r="K247" i="16"/>
  <c r="K246" i="16"/>
  <c r="I244" i="16"/>
  <c r="K244" i="16" s="1"/>
  <c r="L242" i="16"/>
  <c r="L241" i="16"/>
  <c r="L240" i="16"/>
  <c r="L239" i="16"/>
  <c r="P238" i="16"/>
  <c r="N238" i="16"/>
  <c r="N227" i="16" s="1"/>
  <c r="J237" i="16"/>
  <c r="J226" i="16" s="1"/>
  <c r="J180" i="16" s="1"/>
  <c r="K236" i="16"/>
  <c r="J236" i="16"/>
  <c r="I236" i="16"/>
  <c r="K235" i="16"/>
  <c r="J235" i="16"/>
  <c r="I235" i="16"/>
  <c r="J233" i="16"/>
  <c r="N231" i="16"/>
  <c r="N230" i="16"/>
  <c r="N229" i="16"/>
  <c r="N228" i="16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K197" i="16" s="1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P189" i="16" s="1"/>
  <c r="L189" i="16"/>
  <c r="O189" i="16" s="1"/>
  <c r="P188" i="16"/>
  <c r="O188" i="16"/>
  <c r="N186" i="16"/>
  <c r="M186" i="16"/>
  <c r="L186" i="16"/>
  <c r="L184" i="16" s="1"/>
  <c r="P185" i="16"/>
  <c r="O185" i="16"/>
  <c r="P182" i="16"/>
  <c r="N182" i="16"/>
  <c r="M182" i="16"/>
  <c r="L182" i="16"/>
  <c r="O182" i="16" s="1"/>
  <c r="J177" i="16"/>
  <c r="J164" i="16" s="1"/>
  <c r="I176" i="16"/>
  <c r="K176" i="16" s="1"/>
  <c r="J174" i="16"/>
  <c r="N173" i="16"/>
  <c r="N171" i="16" s="1"/>
  <c r="M173" i="16"/>
  <c r="P173" i="16" s="1"/>
  <c r="L173" i="16"/>
  <c r="O173" i="16" s="1"/>
  <c r="P172" i="16"/>
  <c r="O172" i="16"/>
  <c r="N170" i="16"/>
  <c r="M170" i="16"/>
  <c r="L170" i="16"/>
  <c r="L168" i="16" s="1"/>
  <c r="P169" i="16"/>
  <c r="O169" i="16"/>
  <c r="P166" i="16"/>
  <c r="N166" i="16"/>
  <c r="M166" i="16"/>
  <c r="L166" i="16"/>
  <c r="O166" i="16" s="1"/>
  <c r="I159" i="16"/>
  <c r="K159" i="16" s="1"/>
  <c r="N157" i="16"/>
  <c r="M157" i="16"/>
  <c r="L157" i="16"/>
  <c r="O157" i="16" s="1"/>
  <c r="P156" i="16"/>
  <c r="O156" i="16"/>
  <c r="N154" i="16"/>
  <c r="N152" i="16" s="1"/>
  <c r="M154" i="16"/>
  <c r="L154" i="16"/>
  <c r="L152" i="16" s="1"/>
  <c r="P153" i="16"/>
  <c r="O153" i="16"/>
  <c r="P150" i="16"/>
  <c r="N150" i="16"/>
  <c r="M150" i="16"/>
  <c r="L150" i="16"/>
  <c r="J148" i="16"/>
  <c r="I146" i="16"/>
  <c r="K146" i="16" s="1"/>
  <c r="I145" i="16"/>
  <c r="I144" i="16"/>
  <c r="K144" i="16" s="1"/>
  <c r="N140" i="16"/>
  <c r="N138" i="16" s="1"/>
  <c r="M140" i="16"/>
  <c r="M138" i="16" s="1"/>
  <c r="P138" i="16" s="1"/>
  <c r="L140" i="16"/>
  <c r="O140" i="16" s="1"/>
  <c r="P139" i="16"/>
  <c r="O139" i="16"/>
  <c r="N137" i="16"/>
  <c r="N135" i="16" s="1"/>
  <c r="M137" i="16"/>
  <c r="M135" i="16" s="1"/>
  <c r="P135" i="16" s="1"/>
  <c r="L137" i="16"/>
  <c r="O137" i="16" s="1"/>
  <c r="P136" i="16"/>
  <c r="O136" i="16"/>
  <c r="O133" i="16"/>
  <c r="N133" i="16"/>
  <c r="M133" i="16"/>
  <c r="L133" i="16"/>
  <c r="J130" i="16"/>
  <c r="I130" i="16"/>
  <c r="K130" i="16" s="1"/>
  <c r="N127" i="16"/>
  <c r="N125" i="16" s="1"/>
  <c r="M127" i="16"/>
  <c r="L127" i="16"/>
  <c r="L125" i="16" s="1"/>
  <c r="P126" i="16"/>
  <c r="O126" i="16"/>
  <c r="N124" i="16"/>
  <c r="N122" i="16" s="1"/>
  <c r="M124" i="16"/>
  <c r="L124" i="16"/>
  <c r="P123" i="16"/>
  <c r="O123" i="16"/>
  <c r="P120" i="16"/>
  <c r="N120" i="16"/>
  <c r="M120" i="16"/>
  <c r="L120" i="16"/>
  <c r="K118" i="16"/>
  <c r="J118" i="16"/>
  <c r="I116" i="16"/>
  <c r="K116" i="16" s="1"/>
  <c r="I115" i="16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K99" i="16" s="1"/>
  <c r="J98" i="16"/>
  <c r="I98" i="16"/>
  <c r="I86" i="16" s="1"/>
  <c r="K86" i="16" s="1"/>
  <c r="N96" i="16"/>
  <c r="N94" i="16" s="1"/>
  <c r="M96" i="16"/>
  <c r="L96" i="16"/>
  <c r="O96" i="16" s="1"/>
  <c r="P95" i="16"/>
  <c r="O95" i="16"/>
  <c r="N93" i="16"/>
  <c r="N91" i="16" s="1"/>
  <c r="M93" i="16"/>
  <c r="L93" i="16"/>
  <c r="P92" i="16"/>
  <c r="O92" i="16"/>
  <c r="P89" i="16"/>
  <c r="N89" i="16"/>
  <c r="M89" i="16"/>
  <c r="L89" i="16"/>
  <c r="J87" i="16"/>
  <c r="J86" i="16"/>
  <c r="I84" i="16"/>
  <c r="K84" i="16" s="1"/>
  <c r="I83" i="16"/>
  <c r="K83" i="16" s="1"/>
  <c r="I82" i="16"/>
  <c r="K82" i="16" s="1"/>
  <c r="I81" i="16"/>
  <c r="K81" i="16" s="1"/>
  <c r="I80" i="16"/>
  <c r="I79" i="16"/>
  <c r="K79" i="16" s="1"/>
  <c r="I78" i="16"/>
  <c r="K78" i="16" s="1"/>
  <c r="J77" i="16"/>
  <c r="J76" i="16"/>
  <c r="J64" i="16" s="1"/>
  <c r="N74" i="16"/>
  <c r="N72" i="16" s="1"/>
  <c r="M74" i="16"/>
  <c r="P74" i="16" s="1"/>
  <c r="L74" i="16"/>
  <c r="P73" i="16"/>
  <c r="O73" i="16"/>
  <c r="N71" i="16"/>
  <c r="M71" i="16"/>
  <c r="M69" i="16" s="1"/>
  <c r="L71" i="16"/>
  <c r="P70" i="16"/>
  <c r="O70" i="16"/>
  <c r="O67" i="16"/>
  <c r="N67" i="16"/>
  <c r="M67" i="16"/>
  <c r="P67" i="16" s="1"/>
  <c r="L67" i="16"/>
  <c r="J65" i="16"/>
  <c r="N61" i="16"/>
  <c r="N59" i="16" s="1"/>
  <c r="M61" i="16"/>
  <c r="P61" i="16" s="1"/>
  <c r="L61" i="16"/>
  <c r="L59" i="16" s="1"/>
  <c r="O59" i="16" s="1"/>
  <c r="P60" i="16"/>
  <c r="O60" i="16"/>
  <c r="N58" i="16"/>
  <c r="N56" i="16" s="1"/>
  <c r="M58" i="16"/>
  <c r="M56" i="16" s="1"/>
  <c r="L58" i="16"/>
  <c r="L56" i="16" s="1"/>
  <c r="P57" i="16"/>
  <c r="O57" i="16"/>
  <c r="N54" i="16"/>
  <c r="M54" i="16"/>
  <c r="P54" i="16" s="1"/>
  <c r="L54" i="16"/>
  <c r="N49" i="16"/>
  <c r="N47" i="16" s="1"/>
  <c r="M49" i="16"/>
  <c r="P49" i="16" s="1"/>
  <c r="L49" i="16"/>
  <c r="P48" i="16"/>
  <c r="O48" i="16"/>
  <c r="N46" i="16"/>
  <c r="M46" i="16"/>
  <c r="L46" i="16"/>
  <c r="P45" i="16"/>
  <c r="O45" i="16"/>
  <c r="O42" i="16"/>
  <c r="N42" i="16"/>
  <c r="M42" i="16"/>
  <c r="P42" i="16" s="1"/>
  <c r="L42" i="16"/>
  <c r="N36" i="16"/>
  <c r="N34" i="16" s="1"/>
  <c r="M36" i="16"/>
  <c r="P36" i="16" s="1"/>
  <c r="N35" i="16"/>
  <c r="M35" i="16"/>
  <c r="L35" i="16"/>
  <c r="O35" i="16" s="1"/>
  <c r="P33" i="16"/>
  <c r="N33" i="16"/>
  <c r="N31" i="16" s="1"/>
  <c r="M33" i="16"/>
  <c r="P32" i="16"/>
  <c r="O32" i="16"/>
  <c r="N32" i="16"/>
  <c r="N29" i="16" s="1"/>
  <c r="M32" i="16"/>
  <c r="M31" i="16" s="1"/>
  <c r="P31" i="16" s="1"/>
  <c r="L32" i="16"/>
  <c r="M30" i="16"/>
  <c r="P30" i="16" s="1"/>
  <c r="P29" i="16"/>
  <c r="M29" i="16"/>
  <c r="M28" i="16" s="1"/>
  <c r="P28" i="16" s="1"/>
  <c r="L29" i="16"/>
  <c r="O29" i="16" s="1"/>
  <c r="P25" i="16"/>
  <c r="O25" i="16"/>
  <c r="N25" i="16"/>
  <c r="N15" i="16" s="1"/>
  <c r="M25" i="16"/>
  <c r="L25" i="16"/>
  <c r="N22" i="16"/>
  <c r="M22" i="16"/>
  <c r="L22" i="16"/>
  <c r="N19" i="16"/>
  <c r="M19" i="16"/>
  <c r="P19" i="16" s="1"/>
  <c r="M15" i="16"/>
  <c r="L15" i="16"/>
  <c r="O15" i="16" s="1"/>
  <c r="N12" i="16"/>
  <c r="N9" i="16" s="1"/>
  <c r="M12" i="16"/>
  <c r="P12" i="16" s="1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N807" i="15" s="1"/>
  <c r="N805" i="15" s="1"/>
  <c r="P809" i="15"/>
  <c r="O809" i="15"/>
  <c r="N808" i="15"/>
  <c r="M808" i="15"/>
  <c r="P808" i="15" s="1"/>
  <c r="L808" i="15"/>
  <c r="O808" i="15" s="1"/>
  <c r="M807" i="15"/>
  <c r="L807" i="15"/>
  <c r="O807" i="15" s="1"/>
  <c r="P806" i="15"/>
  <c r="N806" i="15"/>
  <c r="M806" i="15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L789" i="15" s="1"/>
  <c r="O789" i="15" s="1"/>
  <c r="P790" i="15"/>
  <c r="O790" i="15"/>
  <c r="N789" i="15"/>
  <c r="M789" i="15"/>
  <c r="P789" i="15" s="1"/>
  <c r="M788" i="15"/>
  <c r="L788" i="15"/>
  <c r="O788" i="15" s="1"/>
  <c r="P787" i="15"/>
  <c r="N787" i="15"/>
  <c r="M787" i="15"/>
  <c r="L787" i="15"/>
  <c r="P782" i="15"/>
  <c r="O782" i="15"/>
  <c r="P781" i="15"/>
  <c r="O781" i="15"/>
  <c r="P780" i="15"/>
  <c r="O780" i="15"/>
  <c r="N780" i="15"/>
  <c r="M780" i="15"/>
  <c r="L780" i="15"/>
  <c r="P775" i="15"/>
  <c r="O775" i="15"/>
  <c r="N775" i="15"/>
  <c r="P774" i="15"/>
  <c r="O774" i="15"/>
  <c r="O773" i="15"/>
  <c r="N773" i="15"/>
  <c r="M773" i="15"/>
  <c r="P773" i="15" s="1"/>
  <c r="L773" i="15"/>
  <c r="N772" i="15"/>
  <c r="N770" i="15" s="1"/>
  <c r="M772" i="15"/>
  <c r="P772" i="15" s="1"/>
  <c r="L772" i="15"/>
  <c r="O772" i="15" s="1"/>
  <c r="N771" i="15"/>
  <c r="M771" i="15"/>
  <c r="L771" i="15"/>
  <c r="O771" i="15" s="1"/>
  <c r="L770" i="15"/>
  <c r="O770" i="15" s="1"/>
  <c r="K769" i="15"/>
  <c r="J769" i="15"/>
  <c r="P766" i="15"/>
  <c r="O766" i="15"/>
  <c r="P765" i="15"/>
  <c r="O765" i="15"/>
  <c r="P764" i="15"/>
  <c r="O764" i="15"/>
  <c r="N764" i="15"/>
  <c r="M764" i="15"/>
  <c r="L764" i="15"/>
  <c r="P759" i="15"/>
  <c r="O759" i="15"/>
  <c r="N759" i="15"/>
  <c r="N757" i="15" s="1"/>
  <c r="P758" i="15"/>
  <c r="O758" i="15"/>
  <c r="O757" i="15"/>
  <c r="M757" i="15"/>
  <c r="P757" i="15" s="1"/>
  <c r="L757" i="15"/>
  <c r="N756" i="15"/>
  <c r="N754" i="15" s="1"/>
  <c r="M756" i="15"/>
  <c r="P756" i="15" s="1"/>
  <c r="L756" i="15"/>
  <c r="O756" i="15" s="1"/>
  <c r="N755" i="15"/>
  <c r="M755" i="15"/>
  <c r="L755" i="15"/>
  <c r="O755" i="15" s="1"/>
  <c r="L754" i="15"/>
  <c r="O754" i="15" s="1"/>
  <c r="K753" i="15"/>
  <c r="J753" i="15"/>
  <c r="P749" i="15"/>
  <c r="O749" i="15"/>
  <c r="P748" i="15"/>
  <c r="O748" i="15"/>
  <c r="P747" i="15"/>
  <c r="O747" i="15"/>
  <c r="N747" i="15"/>
  <c r="M747" i="15"/>
  <c r="L747" i="15"/>
  <c r="P742" i="15"/>
  <c r="O742" i="15"/>
  <c r="N742" i="15"/>
  <c r="N740" i="15" s="1"/>
  <c r="P741" i="15"/>
  <c r="O741" i="15"/>
  <c r="O740" i="15"/>
  <c r="M740" i="15"/>
  <c r="P740" i="15" s="1"/>
  <c r="L740" i="15"/>
  <c r="N739" i="15"/>
  <c r="N737" i="15" s="1"/>
  <c r="M739" i="15"/>
  <c r="P739" i="15" s="1"/>
  <c r="L739" i="15"/>
  <c r="O739" i="15" s="1"/>
  <c r="N738" i="15"/>
  <c r="M738" i="15"/>
  <c r="L738" i="15"/>
  <c r="O738" i="15" s="1"/>
  <c r="L737" i="15"/>
  <c r="O737" i="15" s="1"/>
  <c r="K736" i="15"/>
  <c r="J736" i="15"/>
  <c r="J729" i="15"/>
  <c r="I729" i="15"/>
  <c r="J728" i="15"/>
  <c r="I728" i="15"/>
  <c r="J727" i="15"/>
  <c r="J726" i="15"/>
  <c r="I726" i="15"/>
  <c r="J725" i="15"/>
  <c r="I725" i="15"/>
  <c r="J724" i="15"/>
  <c r="J723" i="15"/>
  <c r="I723" i="15"/>
  <c r="I722" i="15"/>
  <c r="I721" i="15"/>
  <c r="J720" i="15"/>
  <c r="I720" i="15"/>
  <c r="J719" i="15"/>
  <c r="J718" i="15"/>
  <c r="J708" i="15"/>
  <c r="I708" i="15"/>
  <c r="I707" i="15"/>
  <c r="I704" i="15"/>
  <c r="J701" i="15"/>
  <c r="I701" i="15"/>
  <c r="J700" i="15"/>
  <c r="I700" i="15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P690" i="15"/>
  <c r="N690" i="15"/>
  <c r="L690" i="15"/>
  <c r="L687" i="15" s="1"/>
  <c r="N688" i="15"/>
  <c r="M688" i="15"/>
  <c r="P688" i="15" s="1"/>
  <c r="M687" i="15"/>
  <c r="P686" i="15"/>
  <c r="N686" i="15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I669" i="15"/>
  <c r="K674" i="15" s="1"/>
  <c r="P667" i="15"/>
  <c r="O667" i="15"/>
  <c r="P666" i="15"/>
  <c r="O666" i="15"/>
  <c r="P665" i="15"/>
  <c r="N665" i="15"/>
  <c r="M665" i="15"/>
  <c r="L665" i="15"/>
  <c r="O665" i="15" s="1"/>
  <c r="P660" i="15"/>
  <c r="N660" i="15"/>
  <c r="L660" i="15"/>
  <c r="P659" i="15"/>
  <c r="O659" i="15"/>
  <c r="P658" i="15"/>
  <c r="N658" i="15"/>
  <c r="M658" i="15"/>
  <c r="P657" i="15"/>
  <c r="N657" i="15"/>
  <c r="M657" i="15"/>
  <c r="O656" i="15"/>
  <c r="N656" i="15"/>
  <c r="M656" i="15"/>
  <c r="P656" i="15" s="1"/>
  <c r="L656" i="15"/>
  <c r="N655" i="15"/>
  <c r="M655" i="15"/>
  <c r="P655" i="15" s="1"/>
  <c r="K652" i="15"/>
  <c r="J652" i="15"/>
  <c r="J651" i="15"/>
  <c r="J628" i="15" s="1"/>
  <c r="I651" i="15"/>
  <c r="K651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N639" i="15"/>
  <c r="M639" i="15"/>
  <c r="P639" i="15" s="1"/>
  <c r="P634" i="15"/>
  <c r="N634" i="15"/>
  <c r="L634" i="15"/>
  <c r="P633" i="15"/>
  <c r="O633" i="15"/>
  <c r="N632" i="15"/>
  <c r="M632" i="15"/>
  <c r="P632" i="15" s="1"/>
  <c r="P631" i="15"/>
  <c r="N631" i="15"/>
  <c r="M631" i="15"/>
  <c r="P630" i="15"/>
  <c r="O630" i="15"/>
  <c r="N630" i="15"/>
  <c r="M630" i="15"/>
  <c r="M629" i="15" s="1"/>
  <c r="L630" i="15"/>
  <c r="P629" i="15"/>
  <c r="N629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5" i="15"/>
  <c r="J594" i="15"/>
  <c r="I594" i="15"/>
  <c r="K594" i="15" s="1"/>
  <c r="J593" i="15"/>
  <c r="I593" i="15"/>
  <c r="I592" i="15" s="1"/>
  <c r="K592" i="15" s="1"/>
  <c r="J592" i="15"/>
  <c r="J583" i="15"/>
  <c r="J582" i="15"/>
  <c r="J577" i="15"/>
  <c r="I577" i="15"/>
  <c r="K577" i="15" s="1"/>
  <c r="J576" i="15"/>
  <c r="I576" i="15"/>
  <c r="K576" i="15" s="1"/>
  <c r="J569" i="15"/>
  <c r="I569" i="15"/>
  <c r="K569" i="15" s="1"/>
  <c r="J568" i="15"/>
  <c r="I568" i="15"/>
  <c r="K568" i="15" s="1"/>
  <c r="J561" i="15"/>
  <c r="I561" i="15"/>
  <c r="J560" i="15"/>
  <c r="I560" i="15"/>
  <c r="K560" i="15" s="1"/>
  <c r="J559" i="15"/>
  <c r="J543" i="15" s="1"/>
  <c r="P557" i="15"/>
  <c r="L557" i="15"/>
  <c r="L555" i="15" s="1"/>
  <c r="O555" i="15" s="1"/>
  <c r="P556" i="15"/>
  <c r="O556" i="15"/>
  <c r="P555" i="15"/>
  <c r="N555" i="15"/>
  <c r="M555" i="15"/>
  <c r="P549" i="15"/>
  <c r="N549" i="15"/>
  <c r="L549" i="15"/>
  <c r="P548" i="15"/>
  <c r="O548" i="15"/>
  <c r="P547" i="15"/>
  <c r="N547" i="15"/>
  <c r="M547" i="15"/>
  <c r="N546" i="15"/>
  <c r="M546" i="15"/>
  <c r="P546" i="15" s="1"/>
  <c r="N545" i="15"/>
  <c r="N544" i="15" s="1"/>
  <c r="M545" i="15"/>
  <c r="P545" i="15" s="1"/>
  <c r="L545" i="15"/>
  <c r="O545" i="15" s="1"/>
  <c r="M544" i="15"/>
  <c r="P544" i="15" s="1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I522" i="15" s="1"/>
  <c r="K522" i="15" s="1"/>
  <c r="P535" i="15"/>
  <c r="L535" i="15"/>
  <c r="L533" i="15" s="1"/>
  <c r="O533" i="15" s="1"/>
  <c r="P534" i="15"/>
  <c r="O534" i="15"/>
  <c r="N533" i="15"/>
  <c r="M533" i="15"/>
  <c r="P533" i="15" s="1"/>
  <c r="P528" i="15"/>
  <c r="N528" i="15"/>
  <c r="N525" i="15" s="1"/>
  <c r="N523" i="15" s="1"/>
  <c r="L528" i="15"/>
  <c r="L526" i="15" s="1"/>
  <c r="O526" i="15" s="1"/>
  <c r="P527" i="15"/>
  <c r="O527" i="15"/>
  <c r="N526" i="15"/>
  <c r="M526" i="15"/>
  <c r="P526" i="15" s="1"/>
  <c r="M525" i="15"/>
  <c r="P524" i="15"/>
  <c r="N524" i="15"/>
  <c r="M524" i="15"/>
  <c r="L524" i="15"/>
  <c r="K517" i="15"/>
  <c r="J517" i="15"/>
  <c r="J501" i="15" s="1"/>
  <c r="K516" i="15"/>
  <c r="P514" i="15"/>
  <c r="O514" i="15"/>
  <c r="P513" i="15"/>
  <c r="O513" i="15"/>
  <c r="N512" i="15"/>
  <c r="M512" i="15"/>
  <c r="P512" i="15" s="1"/>
  <c r="L512" i="15"/>
  <c r="O512" i="15" s="1"/>
  <c r="P507" i="15"/>
  <c r="O507" i="15"/>
  <c r="N507" i="15"/>
  <c r="P506" i="15"/>
  <c r="O506" i="15"/>
  <c r="P505" i="15"/>
  <c r="N505" i="15"/>
  <c r="M505" i="15"/>
  <c r="L505" i="15"/>
  <c r="O505" i="15" s="1"/>
  <c r="P504" i="15"/>
  <c r="O504" i="15"/>
  <c r="N504" i="15"/>
  <c r="M504" i="15"/>
  <c r="L504" i="15"/>
  <c r="P503" i="15"/>
  <c r="O503" i="15"/>
  <c r="N503" i="15"/>
  <c r="M503" i="15"/>
  <c r="L503" i="15"/>
  <c r="O502" i="15"/>
  <c r="N502" i="15"/>
  <c r="M502" i="15"/>
  <c r="P502" i="15" s="1"/>
  <c r="L502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P478" i="15"/>
  <c r="O478" i="15"/>
  <c r="N477" i="15"/>
  <c r="M477" i="15"/>
  <c r="P477" i="15" s="1"/>
  <c r="P472" i="15"/>
  <c r="N472" i="15"/>
  <c r="L472" i="15"/>
  <c r="O472" i="15" s="1"/>
  <c r="P471" i="15"/>
  <c r="O471" i="15"/>
  <c r="P470" i="15"/>
  <c r="N470" i="15"/>
  <c r="M470" i="15"/>
  <c r="P469" i="15"/>
  <c r="N469" i="15"/>
  <c r="M469" i="15"/>
  <c r="P468" i="15"/>
  <c r="O468" i="15"/>
  <c r="N468" i="15"/>
  <c r="M468" i="15"/>
  <c r="L468" i="15"/>
  <c r="N467" i="15"/>
  <c r="M467" i="15"/>
  <c r="P467" i="15" s="1"/>
  <c r="J466" i="15"/>
  <c r="I466" i="15"/>
  <c r="K466" i="15" s="1"/>
  <c r="J465" i="15"/>
  <c r="I465" i="15"/>
  <c r="I464" i="15"/>
  <c r="I463" i="15"/>
  <c r="I462" i="15"/>
  <c r="K462" i="15" s="1"/>
  <c r="I460" i="15"/>
  <c r="I442" i="15" s="1"/>
  <c r="K442" i="15" s="1"/>
  <c r="K458" i="15"/>
  <c r="P456" i="15"/>
  <c r="L456" i="15"/>
  <c r="L454" i="15" s="1"/>
  <c r="O454" i="15" s="1"/>
  <c r="P455" i="15"/>
  <c r="O455" i="15"/>
  <c r="N454" i="15"/>
  <c r="M454" i="15"/>
  <c r="P454" i="15" s="1"/>
  <c r="P449" i="15"/>
  <c r="N449" i="15"/>
  <c r="L449" i="15"/>
  <c r="P448" i="15"/>
  <c r="O448" i="15"/>
  <c r="N447" i="15"/>
  <c r="M447" i="15"/>
  <c r="P447" i="15" s="1"/>
  <c r="P446" i="15"/>
  <c r="N446" i="15"/>
  <c r="M446" i="15"/>
  <c r="P445" i="15"/>
  <c r="O445" i="15"/>
  <c r="N445" i="15"/>
  <c r="M445" i="15"/>
  <c r="L445" i="15"/>
  <c r="P444" i="15"/>
  <c r="N444" i="15"/>
  <c r="M444" i="15"/>
  <c r="J443" i="15"/>
  <c r="J442" i="15"/>
  <c r="I441" i="15"/>
  <c r="K441" i="15" s="1"/>
  <c r="I440" i="15"/>
  <c r="K440" i="15" s="1"/>
  <c r="I439" i="15"/>
  <c r="K439" i="15" s="1"/>
  <c r="I438" i="15"/>
  <c r="I437" i="15"/>
  <c r="I435" i="15"/>
  <c r="I433" i="15" s="1"/>
  <c r="I417" i="15" s="1"/>
  <c r="J434" i="15"/>
  <c r="J418" i="15" s="1"/>
  <c r="P431" i="15"/>
  <c r="L431" i="15"/>
  <c r="P430" i="15"/>
  <c r="O430" i="15"/>
  <c r="N429" i="15"/>
  <c r="M429" i="15"/>
  <c r="P429" i="15" s="1"/>
  <c r="P424" i="15"/>
  <c r="N424" i="15"/>
  <c r="L424" i="15"/>
  <c r="P423" i="15"/>
  <c r="O423" i="15"/>
  <c r="N422" i="15"/>
  <c r="M422" i="15"/>
  <c r="P422" i="15" s="1"/>
  <c r="P421" i="15"/>
  <c r="N421" i="15"/>
  <c r="M421" i="15"/>
  <c r="P420" i="15"/>
  <c r="O420" i="15"/>
  <c r="N420" i="15"/>
  <c r="M420" i="15"/>
  <c r="L420" i="15"/>
  <c r="P419" i="15"/>
  <c r="N419" i="15"/>
  <c r="M419" i="15"/>
  <c r="K413" i="15"/>
  <c r="K412" i="15"/>
  <c r="N410" i="15"/>
  <c r="N408" i="15" s="1"/>
  <c r="M410" i="15"/>
  <c r="L410" i="15"/>
  <c r="P409" i="15"/>
  <c r="O409" i="15"/>
  <c r="N407" i="15"/>
  <c r="M407" i="15"/>
  <c r="L407" i="15"/>
  <c r="P406" i="15"/>
  <c r="O406" i="15"/>
  <c r="O403" i="15"/>
  <c r="N403" i="15"/>
  <c r="M403" i="15"/>
  <c r="P403" i="15" s="1"/>
  <c r="L403" i="15"/>
  <c r="K401" i="15"/>
  <c r="J401" i="15"/>
  <c r="I401" i="15"/>
  <c r="K400" i="15"/>
  <c r="K399" i="15"/>
  <c r="N397" i="15"/>
  <c r="N395" i="15" s="1"/>
  <c r="M397" i="15"/>
  <c r="L397" i="15"/>
  <c r="O397" i="15" s="1"/>
  <c r="P396" i="15"/>
  <c r="O396" i="15"/>
  <c r="N394" i="15"/>
  <c r="N392" i="15" s="1"/>
  <c r="M394" i="15"/>
  <c r="L394" i="15"/>
  <c r="P393" i="15"/>
  <c r="O393" i="15"/>
  <c r="P390" i="15"/>
  <c r="O390" i="15"/>
  <c r="N390" i="15"/>
  <c r="M390" i="15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P353" i="15" s="1"/>
  <c r="L351" i="15"/>
  <c r="O351" i="15" s="1"/>
  <c r="P352" i="15"/>
  <c r="O352" i="15"/>
  <c r="N350" i="15"/>
  <c r="M350" i="15"/>
  <c r="M348" i="15" s="1"/>
  <c r="L350" i="15"/>
  <c r="L348" i="15" s="1"/>
  <c r="P349" i="15"/>
  <c r="O349" i="15"/>
  <c r="N346" i="15"/>
  <c r="M346" i="15"/>
  <c r="L346" i="15"/>
  <c r="O346" i="15" s="1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O336" i="15" s="1"/>
  <c r="P335" i="15"/>
  <c r="O335" i="15"/>
  <c r="N333" i="15"/>
  <c r="N331" i="15" s="1"/>
  <c r="M333" i="15"/>
  <c r="M331" i="15" s="1"/>
  <c r="L333" i="15"/>
  <c r="P332" i="15"/>
  <c r="O332" i="15"/>
  <c r="P329" i="15"/>
  <c r="O329" i="15"/>
  <c r="N329" i="15"/>
  <c r="M329" i="15"/>
  <c r="L329" i="15"/>
  <c r="I327" i="15"/>
  <c r="I325" i="15"/>
  <c r="I314" i="15" s="1"/>
  <c r="K314" i="15" s="1"/>
  <c r="N323" i="15"/>
  <c r="N321" i="15" s="1"/>
  <c r="M323" i="15"/>
  <c r="P323" i="15" s="1"/>
  <c r="L323" i="15"/>
  <c r="P322" i="15"/>
  <c r="O322" i="15"/>
  <c r="N320" i="15"/>
  <c r="M320" i="15"/>
  <c r="L320" i="15"/>
  <c r="O320" i="15" s="1"/>
  <c r="P319" i="15"/>
  <c r="O319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L306" i="15"/>
  <c r="P305" i="15"/>
  <c r="O305" i="15"/>
  <c r="N303" i="15"/>
  <c r="N301" i="15" s="1"/>
  <c r="M303" i="15"/>
  <c r="L303" i="15"/>
  <c r="P302" i="15"/>
  <c r="O302" i="15"/>
  <c r="O299" i="15"/>
  <c r="N299" i="15"/>
  <c r="M299" i="15"/>
  <c r="P299" i="15" s="1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K287" i="15" s="1"/>
  <c r="N285" i="15"/>
  <c r="N283" i="15" s="1"/>
  <c r="M285" i="15"/>
  <c r="M283" i="15" s="1"/>
  <c r="P283" i="15" s="1"/>
  <c r="L285" i="15"/>
  <c r="L283" i="15" s="1"/>
  <c r="O283" i="15" s="1"/>
  <c r="P284" i="15"/>
  <c r="O284" i="15"/>
  <c r="N282" i="15"/>
  <c r="N280" i="15" s="1"/>
  <c r="M282" i="15"/>
  <c r="L282" i="15"/>
  <c r="P281" i="15"/>
  <c r="O281" i="15"/>
  <c r="P278" i="15"/>
  <c r="O278" i="15"/>
  <c r="N278" i="15"/>
  <c r="M278" i="15"/>
  <c r="L278" i="15"/>
  <c r="J276" i="15"/>
  <c r="I271" i="15"/>
  <c r="K271" i="15" s="1"/>
  <c r="N269" i="15"/>
  <c r="N267" i="15" s="1"/>
  <c r="M269" i="15"/>
  <c r="P269" i="15" s="1"/>
  <c r="L269" i="15"/>
  <c r="L267" i="15" s="1"/>
  <c r="O267" i="15" s="1"/>
  <c r="P268" i="15"/>
  <c r="O268" i="15"/>
  <c r="N266" i="15"/>
  <c r="M266" i="15"/>
  <c r="M264" i="15" s="1"/>
  <c r="L266" i="15"/>
  <c r="L264" i="15" s="1"/>
  <c r="P265" i="15"/>
  <c r="O265" i="15"/>
  <c r="O262" i="15"/>
  <c r="N262" i="15"/>
  <c r="M262" i="15"/>
  <c r="P262" i="15" s="1"/>
  <c r="L262" i="15"/>
  <c r="J260" i="15"/>
  <c r="K258" i="15"/>
  <c r="K257" i="15"/>
  <c r="I255" i="15"/>
  <c r="K255" i="15" s="1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N227" i="15" s="1"/>
  <c r="J237" i="15"/>
  <c r="J226" i="15" s="1"/>
  <c r="J180" i="15" s="1"/>
  <c r="J236" i="15"/>
  <c r="I236" i="15"/>
  <c r="J235" i="15"/>
  <c r="I235" i="15"/>
  <c r="K235" i="15" s="1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I214" i="15"/>
  <c r="K214" i="15" s="1"/>
  <c r="L212" i="15"/>
  <c r="L211" i="15"/>
  <c r="L210" i="15"/>
  <c r="P209" i="15"/>
  <c r="N209" i="15"/>
  <c r="J208" i="15"/>
  <c r="K207" i="15"/>
  <c r="K206" i="15"/>
  <c r="I204" i="15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P189" i="15" s="1"/>
  <c r="L189" i="15"/>
  <c r="P188" i="15"/>
  <c r="O188" i="15"/>
  <c r="N186" i="15"/>
  <c r="M186" i="15"/>
  <c r="M184" i="15" s="1"/>
  <c r="L186" i="15"/>
  <c r="P185" i="15"/>
  <c r="O185" i="15"/>
  <c r="N182" i="15"/>
  <c r="M182" i="15"/>
  <c r="P182" i="15" s="1"/>
  <c r="L182" i="15"/>
  <c r="J177" i="15"/>
  <c r="I176" i="15"/>
  <c r="J174" i="15"/>
  <c r="N173" i="15"/>
  <c r="N171" i="15" s="1"/>
  <c r="M173" i="15"/>
  <c r="P173" i="15" s="1"/>
  <c r="L173" i="15"/>
  <c r="P172" i="15"/>
  <c r="O172" i="15"/>
  <c r="N170" i="15"/>
  <c r="N168" i="15" s="1"/>
  <c r="M170" i="15"/>
  <c r="L170" i="15"/>
  <c r="P169" i="15"/>
  <c r="O169" i="15"/>
  <c r="O166" i="15"/>
  <c r="N166" i="15"/>
  <c r="M166" i="15"/>
  <c r="P166" i="15" s="1"/>
  <c r="L166" i="15"/>
  <c r="J164" i="15"/>
  <c r="I159" i="15"/>
  <c r="I148" i="15" s="1"/>
  <c r="N157" i="15"/>
  <c r="N155" i="15" s="1"/>
  <c r="M157" i="15"/>
  <c r="P157" i="15" s="1"/>
  <c r="L157" i="15"/>
  <c r="P156" i="15"/>
  <c r="O156" i="15"/>
  <c r="N154" i="15"/>
  <c r="N152" i="15" s="1"/>
  <c r="M154" i="15"/>
  <c r="M152" i="15" s="1"/>
  <c r="L154" i="15"/>
  <c r="L152" i="15" s="1"/>
  <c r="P153" i="15"/>
  <c r="O153" i="15"/>
  <c r="N150" i="15"/>
  <c r="M150" i="15"/>
  <c r="P150" i="15" s="1"/>
  <c r="L150" i="15"/>
  <c r="O150" i="15" s="1"/>
  <c r="J148" i="15"/>
  <c r="I146" i="15"/>
  <c r="I145" i="15"/>
  <c r="I144" i="15"/>
  <c r="K144" i="15" s="1"/>
  <c r="N140" i="15"/>
  <c r="N138" i="15" s="1"/>
  <c r="M140" i="15"/>
  <c r="P140" i="15" s="1"/>
  <c r="L140" i="15"/>
  <c r="O140" i="15" s="1"/>
  <c r="P139" i="15"/>
  <c r="O139" i="15"/>
  <c r="N137" i="15"/>
  <c r="N135" i="15" s="1"/>
  <c r="M137" i="15"/>
  <c r="M135" i="15" s="1"/>
  <c r="P135" i="15" s="1"/>
  <c r="L137" i="15"/>
  <c r="P136" i="15"/>
  <c r="O136" i="15"/>
  <c r="P133" i="15"/>
  <c r="O133" i="15"/>
  <c r="N133" i="15"/>
  <c r="M133" i="15"/>
  <c r="L133" i="15"/>
  <c r="J130" i="15"/>
  <c r="N127" i="15"/>
  <c r="N125" i="15" s="1"/>
  <c r="M127" i="15"/>
  <c r="P127" i="15" s="1"/>
  <c r="L127" i="15"/>
  <c r="L125" i="15" s="1"/>
  <c r="O125" i="15" s="1"/>
  <c r="P126" i="15"/>
  <c r="O126" i="15"/>
  <c r="N124" i="15"/>
  <c r="N122" i="15" s="1"/>
  <c r="M124" i="15"/>
  <c r="P124" i="15" s="1"/>
  <c r="L124" i="15"/>
  <c r="L122" i="15" s="1"/>
  <c r="O122" i="15" s="1"/>
  <c r="P123" i="15"/>
  <c r="O123" i="15"/>
  <c r="N120" i="15"/>
  <c r="M120" i="15"/>
  <c r="P120" i="15" s="1"/>
  <c r="L120" i="15"/>
  <c r="O120" i="15" s="1"/>
  <c r="J118" i="15"/>
  <c r="K118" i="15" s="1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J98" i="15"/>
  <c r="J86" i="15" s="1"/>
  <c r="I98" i="15"/>
  <c r="I86" i="15" s="1"/>
  <c r="N96" i="15"/>
  <c r="N94" i="15" s="1"/>
  <c r="M96" i="15"/>
  <c r="P96" i="15" s="1"/>
  <c r="L96" i="15"/>
  <c r="L94" i="15" s="1"/>
  <c r="O94" i="15" s="1"/>
  <c r="P95" i="15"/>
  <c r="O95" i="15"/>
  <c r="N93" i="15"/>
  <c r="N91" i="15" s="1"/>
  <c r="M93" i="15"/>
  <c r="M91" i="15" s="1"/>
  <c r="L93" i="15"/>
  <c r="L91" i="15" s="1"/>
  <c r="P92" i="15"/>
  <c r="O92" i="15"/>
  <c r="N89" i="15"/>
  <c r="M89" i="15"/>
  <c r="P89" i="15" s="1"/>
  <c r="L89" i="15"/>
  <c r="O89" i="15" s="1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I78" i="15"/>
  <c r="K78" i="15" s="1"/>
  <c r="J77" i="15"/>
  <c r="J76" i="15"/>
  <c r="N74" i="15"/>
  <c r="N72" i="15" s="1"/>
  <c r="M74" i="15"/>
  <c r="L74" i="15"/>
  <c r="O74" i="15" s="1"/>
  <c r="P73" i="15"/>
  <c r="O73" i="15"/>
  <c r="N71" i="15"/>
  <c r="N69" i="15" s="1"/>
  <c r="M71" i="15"/>
  <c r="L71" i="15"/>
  <c r="P70" i="15"/>
  <c r="O70" i="15"/>
  <c r="P67" i="15"/>
  <c r="N67" i="15"/>
  <c r="M67" i="15"/>
  <c r="L67" i="15"/>
  <c r="O67" i="15" s="1"/>
  <c r="J65" i="15"/>
  <c r="J64" i="15"/>
  <c r="N61" i="15"/>
  <c r="N59" i="15" s="1"/>
  <c r="M61" i="15"/>
  <c r="M59" i="15" s="1"/>
  <c r="L61" i="15"/>
  <c r="L59" i="15" s="1"/>
  <c r="P60" i="15"/>
  <c r="O60" i="15"/>
  <c r="N58" i="15"/>
  <c r="N56" i="15" s="1"/>
  <c r="M58" i="15"/>
  <c r="M56" i="15" s="1"/>
  <c r="L58" i="15"/>
  <c r="L56" i="15" s="1"/>
  <c r="P57" i="15"/>
  <c r="O57" i="15"/>
  <c r="O54" i="15"/>
  <c r="N54" i="15"/>
  <c r="M54" i="15"/>
  <c r="L54" i="15"/>
  <c r="N49" i="15"/>
  <c r="N47" i="15" s="1"/>
  <c r="M49" i="15"/>
  <c r="L49" i="15"/>
  <c r="O49" i="15" s="1"/>
  <c r="P48" i="15"/>
  <c r="O48" i="15"/>
  <c r="N46" i="15"/>
  <c r="N44" i="15" s="1"/>
  <c r="M46" i="15"/>
  <c r="L46" i="15"/>
  <c r="L44" i="15" s="1"/>
  <c r="P45" i="15"/>
  <c r="O45" i="15"/>
  <c r="N42" i="15"/>
  <c r="M42" i="15"/>
  <c r="L42" i="15"/>
  <c r="O42" i="15" s="1"/>
  <c r="P36" i="15"/>
  <c r="N36" i="15"/>
  <c r="M36" i="15"/>
  <c r="O35" i="15"/>
  <c r="N35" i="15"/>
  <c r="N34" i="15" s="1"/>
  <c r="M35" i="15"/>
  <c r="P35" i="15" s="1"/>
  <c r="L35" i="15"/>
  <c r="M34" i="15"/>
  <c r="P34" i="15" s="1"/>
  <c r="N33" i="15"/>
  <c r="M33" i="15"/>
  <c r="P33" i="15" s="1"/>
  <c r="N32" i="15"/>
  <c r="M32" i="15"/>
  <c r="P32" i="15" s="1"/>
  <c r="L32" i="15"/>
  <c r="N31" i="15"/>
  <c r="N30" i="15"/>
  <c r="P29" i="15"/>
  <c r="M29" i="15"/>
  <c r="N25" i="15"/>
  <c r="N15" i="15" s="1"/>
  <c r="M25" i="15"/>
  <c r="P25" i="15" s="1"/>
  <c r="L25" i="15"/>
  <c r="O25" i="15" s="1"/>
  <c r="P22" i="15"/>
  <c r="O22" i="15"/>
  <c r="N22" i="15"/>
  <c r="M22" i="15"/>
  <c r="L22" i="15"/>
  <c r="N19" i="15"/>
  <c r="M19" i="15"/>
  <c r="P19" i="15" s="1"/>
  <c r="N12" i="15"/>
  <c r="M12" i="15"/>
  <c r="P12" i="15" s="1"/>
  <c r="L12" i="15"/>
  <c r="O12" i="15" s="1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N807" i="14" s="1"/>
  <c r="N805" i="14" s="1"/>
  <c r="P809" i="14"/>
  <c r="O809" i="14"/>
  <c r="O808" i="14"/>
  <c r="M808" i="14"/>
  <c r="P808" i="14" s="1"/>
  <c r="L808" i="14"/>
  <c r="M807" i="14"/>
  <c r="L807" i="14"/>
  <c r="O807" i="14" s="1"/>
  <c r="N806" i="14"/>
  <c r="M806" i="14"/>
  <c r="P806" i="14" s="1"/>
  <c r="L806" i="14"/>
  <c r="K804" i="14"/>
  <c r="J804" i="14"/>
  <c r="J803" i="14"/>
  <c r="I803" i="14"/>
  <c r="K803" i="14" s="1"/>
  <c r="J802" i="14"/>
  <c r="J801" i="14"/>
  <c r="I801" i="14"/>
  <c r="J800" i="14"/>
  <c r="P798" i="14"/>
  <c r="O798" i="14"/>
  <c r="P797" i="14"/>
  <c r="O797" i="14"/>
  <c r="N796" i="14"/>
  <c r="M796" i="14"/>
  <c r="P796" i="14" s="1"/>
  <c r="L796" i="14"/>
  <c r="O796" i="14" s="1"/>
  <c r="P791" i="14"/>
  <c r="N791" i="14"/>
  <c r="N788" i="14" s="1"/>
  <c r="L791" i="14"/>
  <c r="P790" i="14"/>
  <c r="O790" i="14"/>
  <c r="P789" i="14"/>
  <c r="N789" i="14"/>
  <c r="M789" i="14"/>
  <c r="P788" i="14"/>
  <c r="M788" i="14"/>
  <c r="P787" i="14"/>
  <c r="O787" i="14"/>
  <c r="N787" i="14"/>
  <c r="N786" i="14" s="1"/>
  <c r="M787" i="14"/>
  <c r="L787" i="14"/>
  <c r="M786" i="14"/>
  <c r="P786" i="14" s="1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P774" i="14"/>
  <c r="O774" i="14"/>
  <c r="N773" i="14"/>
  <c r="M773" i="14"/>
  <c r="P773" i="14" s="1"/>
  <c r="L773" i="14"/>
  <c r="O773" i="14" s="1"/>
  <c r="P772" i="14"/>
  <c r="N772" i="14"/>
  <c r="M772" i="14"/>
  <c r="L772" i="14"/>
  <c r="O772" i="14" s="1"/>
  <c r="P771" i="14"/>
  <c r="O771" i="14"/>
  <c r="N771" i="14"/>
  <c r="M771" i="14"/>
  <c r="M770" i="14" s="1"/>
  <c r="P770" i="14" s="1"/>
  <c r="L771" i="14"/>
  <c r="O770" i="14"/>
  <c r="N770" i="14"/>
  <c r="L770" i="14"/>
  <c r="K769" i="14"/>
  <c r="J769" i="14"/>
  <c r="P766" i="14"/>
  <c r="O766" i="14"/>
  <c r="P765" i="14"/>
  <c r="O765" i="14"/>
  <c r="O764" i="14"/>
  <c r="N764" i="14"/>
  <c r="M764" i="14"/>
  <c r="P764" i="14" s="1"/>
  <c r="L764" i="14"/>
  <c r="P759" i="14"/>
  <c r="O759" i="14"/>
  <c r="N759" i="14"/>
  <c r="P758" i="14"/>
  <c r="O758" i="14"/>
  <c r="N757" i="14"/>
  <c r="M757" i="14"/>
  <c r="P757" i="14" s="1"/>
  <c r="L757" i="14"/>
  <c r="O757" i="14" s="1"/>
  <c r="P756" i="14"/>
  <c r="N756" i="14"/>
  <c r="M756" i="14"/>
  <c r="L756" i="14"/>
  <c r="O756" i="14" s="1"/>
  <c r="P755" i="14"/>
  <c r="O755" i="14"/>
  <c r="N755" i="14"/>
  <c r="M755" i="14"/>
  <c r="M754" i="14" s="1"/>
  <c r="P754" i="14" s="1"/>
  <c r="L755" i="14"/>
  <c r="O754" i="14"/>
  <c r="N754" i="14"/>
  <c r="L754" i="14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P741" i="14"/>
  <c r="O741" i="14"/>
  <c r="N740" i="14"/>
  <c r="M740" i="14"/>
  <c r="P740" i="14" s="1"/>
  <c r="L740" i="14"/>
  <c r="O740" i="14" s="1"/>
  <c r="P739" i="14"/>
  <c r="N739" i="14"/>
  <c r="M739" i="14"/>
  <c r="L739" i="14"/>
  <c r="O739" i="14" s="1"/>
  <c r="P738" i="14"/>
  <c r="O738" i="14"/>
  <c r="N738" i="14"/>
  <c r="M738" i="14"/>
  <c r="M737" i="14" s="1"/>
  <c r="P737" i="14" s="1"/>
  <c r="L738" i="14"/>
  <c r="O737" i="14"/>
  <c r="N737" i="14"/>
  <c r="L737" i="14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N695" i="14"/>
  <c r="M695" i="14"/>
  <c r="P695" i="14" s="1"/>
  <c r="L695" i="14"/>
  <c r="O695" i="14" s="1"/>
  <c r="P690" i="14"/>
  <c r="N690" i="14"/>
  <c r="L690" i="14"/>
  <c r="P688" i="14"/>
  <c r="N688" i="14"/>
  <c r="M688" i="14"/>
  <c r="P687" i="14"/>
  <c r="N687" i="14"/>
  <c r="M687" i="14"/>
  <c r="O686" i="14"/>
  <c r="N686" i="14"/>
  <c r="M686" i="14"/>
  <c r="P686" i="14" s="1"/>
  <c r="L686" i="14"/>
  <c r="N685" i="14"/>
  <c r="M685" i="14"/>
  <c r="P685" i="14" s="1"/>
  <c r="J679" i="14"/>
  <c r="J678" i="14" s="1"/>
  <c r="I678" i="14"/>
  <c r="K678" i="14" s="1"/>
  <c r="J675" i="14"/>
  <c r="I671" i="14"/>
  <c r="K671" i="14" s="1"/>
  <c r="I670" i="14"/>
  <c r="K670" i="14" s="1"/>
  <c r="J669" i="14"/>
  <c r="I669" i="14"/>
  <c r="P667" i="14"/>
  <c r="O667" i="14"/>
  <c r="P666" i="14"/>
  <c r="O666" i="14"/>
  <c r="O665" i="14"/>
  <c r="N665" i="14"/>
  <c r="M665" i="14"/>
  <c r="P665" i="14" s="1"/>
  <c r="L665" i="14"/>
  <c r="P660" i="14"/>
  <c r="N660" i="14"/>
  <c r="N657" i="14" s="1"/>
  <c r="N655" i="14" s="1"/>
  <c r="L660" i="14"/>
  <c r="L657" i="14" s="1"/>
  <c r="O657" i="14" s="1"/>
  <c r="P659" i="14"/>
  <c r="O659" i="14"/>
  <c r="N658" i="14"/>
  <c r="M658" i="14"/>
  <c r="P658" i="14" s="1"/>
  <c r="M657" i="14"/>
  <c r="P656" i="14"/>
  <c r="N656" i="14"/>
  <c r="M656" i="14"/>
  <c r="L656" i="14"/>
  <c r="J654" i="14"/>
  <c r="K652" i="14"/>
  <c r="J652" i="14"/>
  <c r="J651" i="14"/>
  <c r="J628" i="14" s="1"/>
  <c r="I651" i="14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P639" i="14"/>
  <c r="N639" i="14"/>
  <c r="M639" i="14"/>
  <c r="P634" i="14"/>
  <c r="N634" i="14"/>
  <c r="L634" i="14"/>
  <c r="P633" i="14"/>
  <c r="O633" i="14"/>
  <c r="P632" i="14"/>
  <c r="N632" i="14"/>
  <c r="M632" i="14"/>
  <c r="P631" i="14"/>
  <c r="N631" i="14"/>
  <c r="M631" i="14"/>
  <c r="O630" i="14"/>
  <c r="N630" i="14"/>
  <c r="M630" i="14"/>
  <c r="P630" i="14" s="1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3" i="14" s="1"/>
  <c r="J596" i="14"/>
  <c r="J594" i="14" s="1"/>
  <c r="J595" i="14"/>
  <c r="I594" i="14"/>
  <c r="I593" i="14"/>
  <c r="I592" i="14" s="1"/>
  <c r="J583" i="14"/>
  <c r="J577" i="14" s="1"/>
  <c r="J582" i="14"/>
  <c r="J576" i="14" s="1"/>
  <c r="J559" i="14" s="1"/>
  <c r="J543" i="14" s="1"/>
  <c r="I577" i="14"/>
  <c r="K577" i="14" s="1"/>
  <c r="I576" i="14"/>
  <c r="J569" i="14"/>
  <c r="I569" i="14"/>
  <c r="K569" i="14" s="1"/>
  <c r="J568" i="14"/>
  <c r="I568" i="14"/>
  <c r="J561" i="14"/>
  <c r="I561" i="14"/>
  <c r="K561" i="14" s="1"/>
  <c r="J560" i="14"/>
  <c r="I560" i="14"/>
  <c r="K560" i="14" s="1"/>
  <c r="P557" i="14"/>
  <c r="L557" i="14"/>
  <c r="L555" i="14" s="1"/>
  <c r="O555" i="14" s="1"/>
  <c r="P556" i="14"/>
  <c r="O556" i="14"/>
  <c r="N555" i="14"/>
  <c r="N545" i="14" s="1"/>
  <c r="N544" i="14" s="1"/>
  <c r="M555" i="14"/>
  <c r="P549" i="14"/>
  <c r="N549" i="14"/>
  <c r="L549" i="14"/>
  <c r="P548" i="14"/>
  <c r="O548" i="14"/>
  <c r="N547" i="14"/>
  <c r="M547" i="14"/>
  <c r="P547" i="14" s="1"/>
  <c r="N546" i="14"/>
  <c r="M546" i="14"/>
  <c r="P546" i="14" s="1"/>
  <c r="L545" i="14"/>
  <c r="O545" i="14" s="1"/>
  <c r="I542" i="14"/>
  <c r="K542" i="14" s="1"/>
  <c r="I541" i="14"/>
  <c r="K541" i="14" s="1"/>
  <c r="I540" i="14"/>
  <c r="K540" i="14" s="1"/>
  <c r="I539" i="14"/>
  <c r="I538" i="14"/>
  <c r="K538" i="14" s="1"/>
  <c r="I537" i="14"/>
  <c r="I522" i="14" s="1"/>
  <c r="K522" i="14" s="1"/>
  <c r="P535" i="14"/>
  <c r="L535" i="14"/>
  <c r="O535" i="14" s="1"/>
  <c r="P534" i="14"/>
  <c r="O534" i="14"/>
  <c r="N533" i="14"/>
  <c r="M533" i="14"/>
  <c r="P533" i="14" s="1"/>
  <c r="P528" i="14"/>
  <c r="N528" i="14"/>
  <c r="N525" i="14" s="1"/>
  <c r="L528" i="14"/>
  <c r="O528" i="14" s="1"/>
  <c r="P527" i="14"/>
  <c r="O527" i="14"/>
  <c r="P526" i="14"/>
  <c r="N526" i="14"/>
  <c r="M526" i="14"/>
  <c r="P525" i="14"/>
  <c r="M525" i="14"/>
  <c r="P524" i="14"/>
  <c r="O524" i="14"/>
  <c r="N524" i="14"/>
  <c r="N523" i="14" s="1"/>
  <c r="M524" i="14"/>
  <c r="L524" i="14"/>
  <c r="M523" i="14"/>
  <c r="P523" i="14" s="1"/>
  <c r="K517" i="14"/>
  <c r="J517" i="14"/>
  <c r="J501" i="14" s="1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P506" i="14"/>
  <c r="O506" i="14"/>
  <c r="O505" i="14"/>
  <c r="N505" i="14"/>
  <c r="M505" i="14"/>
  <c r="P505" i="14" s="1"/>
  <c r="L505" i="14"/>
  <c r="N504" i="14"/>
  <c r="N502" i="14" s="1"/>
  <c r="M504" i="14"/>
  <c r="P504" i="14" s="1"/>
  <c r="L504" i="14"/>
  <c r="O504" i="14" s="1"/>
  <c r="N503" i="14"/>
  <c r="M503" i="14"/>
  <c r="L503" i="14"/>
  <c r="O503" i="14" s="1"/>
  <c r="K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P477" i="14"/>
  <c r="N477" i="14"/>
  <c r="M477" i="14"/>
  <c r="P472" i="14"/>
  <c r="N472" i="14"/>
  <c r="L472" i="14"/>
  <c r="P471" i="14"/>
  <c r="O471" i="14"/>
  <c r="N470" i="14"/>
  <c r="M470" i="14"/>
  <c r="P470" i="14" s="1"/>
  <c r="N469" i="14"/>
  <c r="N467" i="14" s="1"/>
  <c r="M469" i="14"/>
  <c r="P469" i="14" s="1"/>
  <c r="N468" i="14"/>
  <c r="M468" i="14"/>
  <c r="L468" i="14"/>
  <c r="O468" i="14" s="1"/>
  <c r="J466" i="14"/>
  <c r="I466" i="14"/>
  <c r="K466" i="14" s="1"/>
  <c r="J465" i="14"/>
  <c r="I465" i="14"/>
  <c r="K465" i="14" s="1"/>
  <c r="I464" i="14"/>
  <c r="I463" i="14"/>
  <c r="I462" i="14"/>
  <c r="K462" i="14" s="1"/>
  <c r="I460" i="14"/>
  <c r="K460" i="14" s="1"/>
  <c r="K458" i="14"/>
  <c r="P456" i="14"/>
  <c r="L456" i="14"/>
  <c r="L454" i="14" s="1"/>
  <c r="O454" i="14" s="1"/>
  <c r="P455" i="14"/>
  <c r="O455" i="14"/>
  <c r="P454" i="14"/>
  <c r="N454" i="14"/>
  <c r="M454" i="14"/>
  <c r="P449" i="14"/>
  <c r="N449" i="14"/>
  <c r="L449" i="14"/>
  <c r="L447" i="14" s="1"/>
  <c r="O447" i="14" s="1"/>
  <c r="P448" i="14"/>
  <c r="O448" i="14"/>
  <c r="P447" i="14"/>
  <c r="N447" i="14"/>
  <c r="M447" i="14"/>
  <c r="N446" i="14"/>
  <c r="M446" i="14"/>
  <c r="P446" i="14" s="1"/>
  <c r="N445" i="14"/>
  <c r="N444" i="14" s="1"/>
  <c r="M445" i="14"/>
  <c r="P445" i="14" s="1"/>
  <c r="L445" i="14"/>
  <c r="O445" i="14" s="1"/>
  <c r="M444" i="14"/>
  <c r="P444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I433" i="14" s="1"/>
  <c r="J434" i="14"/>
  <c r="P431" i="14"/>
  <c r="L431" i="14"/>
  <c r="L429" i="14" s="1"/>
  <c r="O429" i="14" s="1"/>
  <c r="P430" i="14"/>
  <c r="O430" i="14"/>
  <c r="P429" i="14"/>
  <c r="N429" i="14"/>
  <c r="M429" i="14"/>
  <c r="P424" i="14"/>
  <c r="N424" i="14"/>
  <c r="L424" i="14"/>
  <c r="L422" i="14" s="1"/>
  <c r="O422" i="14" s="1"/>
  <c r="P423" i="14"/>
  <c r="O423" i="14"/>
  <c r="P422" i="14"/>
  <c r="N422" i="14"/>
  <c r="M422" i="14"/>
  <c r="N421" i="14"/>
  <c r="M421" i="14"/>
  <c r="P421" i="14" s="1"/>
  <c r="N420" i="14"/>
  <c r="N419" i="14" s="1"/>
  <c r="M420" i="14"/>
  <c r="P420" i="14" s="1"/>
  <c r="L420" i="14"/>
  <c r="O420" i="14" s="1"/>
  <c r="M419" i="14"/>
  <c r="J418" i="14"/>
  <c r="K413" i="14"/>
  <c r="K412" i="14"/>
  <c r="N410" i="14"/>
  <c r="N408" i="14" s="1"/>
  <c r="M410" i="14"/>
  <c r="L410" i="14"/>
  <c r="P409" i="14"/>
  <c r="O409" i="14"/>
  <c r="N407" i="14"/>
  <c r="N405" i="14" s="1"/>
  <c r="M407" i="14"/>
  <c r="L407" i="14"/>
  <c r="P406" i="14"/>
  <c r="O406" i="14"/>
  <c r="P403" i="14"/>
  <c r="N403" i="14"/>
  <c r="M403" i="14"/>
  <c r="L403" i="14"/>
  <c r="K401" i="14"/>
  <c r="J401" i="14"/>
  <c r="I401" i="14"/>
  <c r="K400" i="14"/>
  <c r="K399" i="14"/>
  <c r="N397" i="14"/>
  <c r="N395" i="14" s="1"/>
  <c r="M397" i="14"/>
  <c r="P397" i="14" s="1"/>
  <c r="L397" i="14"/>
  <c r="L395" i="14" s="1"/>
  <c r="O395" i="14" s="1"/>
  <c r="P396" i="14"/>
  <c r="O396" i="14"/>
  <c r="N394" i="14"/>
  <c r="N392" i="14" s="1"/>
  <c r="M394" i="14"/>
  <c r="P394" i="14" s="1"/>
  <c r="L394" i="14"/>
  <c r="L392" i="14" s="1"/>
  <c r="O392" i="14" s="1"/>
  <c r="P393" i="14"/>
  <c r="O393" i="14"/>
  <c r="N390" i="14"/>
  <c r="M390" i="14"/>
  <c r="P390" i="14" s="1"/>
  <c r="L390" i="14"/>
  <c r="O390" i="14" s="1"/>
  <c r="J388" i="14"/>
  <c r="I388" i="14"/>
  <c r="K388" i="14" s="1"/>
  <c r="J385" i="14"/>
  <c r="I385" i="14"/>
  <c r="K385" i="14" s="1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L351" i="14" s="1"/>
  <c r="P352" i="14"/>
  <c r="O352" i="14"/>
  <c r="N350" i="14"/>
  <c r="N348" i="14" s="1"/>
  <c r="M350" i="14"/>
  <c r="M348" i="14" s="1"/>
  <c r="L350" i="14"/>
  <c r="P349" i="14"/>
  <c r="O349" i="14"/>
  <c r="N346" i="14"/>
  <c r="M346" i="14"/>
  <c r="P346" i="14" s="1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O336" i="14" s="1"/>
  <c r="P335" i="14"/>
  <c r="O335" i="14"/>
  <c r="N333" i="14"/>
  <c r="N331" i="14" s="1"/>
  <c r="M333" i="14"/>
  <c r="M331" i="14" s="1"/>
  <c r="L333" i="14"/>
  <c r="L331" i="14" s="1"/>
  <c r="P332" i="14"/>
  <c r="O332" i="14"/>
  <c r="N329" i="14"/>
  <c r="M329" i="14"/>
  <c r="P329" i="14" s="1"/>
  <c r="L329" i="14"/>
  <c r="O329" i="14" s="1"/>
  <c r="I327" i="14"/>
  <c r="I325" i="14"/>
  <c r="K325" i="14" s="1"/>
  <c r="N323" i="14"/>
  <c r="N321" i="14" s="1"/>
  <c r="M323" i="14"/>
  <c r="L323" i="14"/>
  <c r="O323" i="14" s="1"/>
  <c r="P322" i="14"/>
  <c r="O322" i="14"/>
  <c r="N320" i="14"/>
  <c r="M320" i="14"/>
  <c r="M318" i="14" s="1"/>
  <c r="P318" i="14" s="1"/>
  <c r="L320" i="14"/>
  <c r="P319" i="14"/>
  <c r="O319" i="14"/>
  <c r="P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N306" i="14"/>
  <c r="M306" i="14"/>
  <c r="P306" i="14" s="1"/>
  <c r="L306" i="14"/>
  <c r="P305" i="14"/>
  <c r="O305" i="14"/>
  <c r="N303" i="14"/>
  <c r="N301" i="14" s="1"/>
  <c r="M303" i="14"/>
  <c r="L303" i="14"/>
  <c r="L301" i="14" s="1"/>
  <c r="O301" i="14" s="1"/>
  <c r="P302" i="14"/>
  <c r="O302" i="14"/>
  <c r="N299" i="14"/>
  <c r="M299" i="14"/>
  <c r="P299" i="14" s="1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J288" i="14" s="1"/>
  <c r="I287" i="14"/>
  <c r="K287" i="14" s="1"/>
  <c r="N285" i="14"/>
  <c r="N283" i="14" s="1"/>
  <c r="M285" i="14"/>
  <c r="L285" i="14"/>
  <c r="O285" i="14" s="1"/>
  <c r="P284" i="14"/>
  <c r="O284" i="14"/>
  <c r="N282" i="14"/>
  <c r="N280" i="14" s="1"/>
  <c r="M282" i="14"/>
  <c r="L282" i="14"/>
  <c r="P281" i="14"/>
  <c r="O281" i="14"/>
  <c r="P278" i="14"/>
  <c r="N278" i="14"/>
  <c r="M278" i="14"/>
  <c r="L278" i="14"/>
  <c r="O278" i="14" s="1"/>
  <c r="J276" i="14"/>
  <c r="I271" i="14"/>
  <c r="K271" i="14" s="1"/>
  <c r="N269" i="14"/>
  <c r="N267" i="14" s="1"/>
  <c r="M269" i="14"/>
  <c r="L269" i="14"/>
  <c r="O269" i="14" s="1"/>
  <c r="P268" i="14"/>
  <c r="O268" i="14"/>
  <c r="N266" i="14"/>
  <c r="N264" i="14" s="1"/>
  <c r="M266" i="14"/>
  <c r="L266" i="14"/>
  <c r="P265" i="14"/>
  <c r="O265" i="14"/>
  <c r="O262" i="14"/>
  <c r="N262" i="14"/>
  <c r="M262" i="14"/>
  <c r="L262" i="14"/>
  <c r="J260" i="14"/>
  <c r="K258" i="14"/>
  <c r="K257" i="14"/>
  <c r="I255" i="14"/>
  <c r="K255" i="14" s="1"/>
  <c r="L253" i="14"/>
  <c r="L252" i="14"/>
  <c r="L251" i="14"/>
  <c r="L250" i="14"/>
  <c r="P249" i="14"/>
  <c r="N249" i="14"/>
  <c r="J248" i="14"/>
  <c r="K247" i="14"/>
  <c r="K246" i="14"/>
  <c r="I244" i="14"/>
  <c r="L242" i="14"/>
  <c r="L241" i="14"/>
  <c r="L240" i="14"/>
  <c r="L239" i="14"/>
  <c r="P238" i="14"/>
  <c r="N238" i="14"/>
  <c r="N227" i="14" s="1"/>
  <c r="J237" i="14"/>
  <c r="K236" i="14"/>
  <c r="J236" i="14"/>
  <c r="I236" i="14"/>
  <c r="K235" i="14"/>
  <c r="J235" i="14"/>
  <c r="I235" i="14"/>
  <c r="J233" i="14"/>
  <c r="N231" i="14"/>
  <c r="N230" i="14"/>
  <c r="N229" i="14"/>
  <c r="N228" i="14"/>
  <c r="J226" i="14"/>
  <c r="I225" i="14"/>
  <c r="K225" i="14" s="1"/>
  <c r="I224" i="14"/>
  <c r="I216" i="14" s="1"/>
  <c r="K216" i="14" s="1"/>
  <c r="I223" i="14"/>
  <c r="K223" i="14" s="1"/>
  <c r="L220" i="14"/>
  <c r="L219" i="14"/>
  <c r="L218" i="14"/>
  <c r="P217" i="14"/>
  <c r="N217" i="14"/>
  <c r="J216" i="14"/>
  <c r="I215" i="14"/>
  <c r="I208" i="14" s="1"/>
  <c r="K208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M187" i="14" s="1"/>
  <c r="P187" i="14" s="1"/>
  <c r="L189" i="14"/>
  <c r="O189" i="14" s="1"/>
  <c r="P188" i="14"/>
  <c r="O188" i="14"/>
  <c r="N186" i="14"/>
  <c r="M186" i="14"/>
  <c r="L186" i="14"/>
  <c r="P185" i="14"/>
  <c r="O185" i="14"/>
  <c r="O182" i="14"/>
  <c r="N182" i="14"/>
  <c r="M182" i="14"/>
  <c r="L182" i="14"/>
  <c r="J180" i="14"/>
  <c r="J177" i="14"/>
  <c r="I176" i="14"/>
  <c r="J174" i="14"/>
  <c r="N173" i="14"/>
  <c r="N171" i="14" s="1"/>
  <c r="M173" i="14"/>
  <c r="P173" i="14" s="1"/>
  <c r="L173" i="14"/>
  <c r="O173" i="14" s="1"/>
  <c r="P172" i="14"/>
  <c r="O172" i="14"/>
  <c r="N170" i="14"/>
  <c r="M170" i="14"/>
  <c r="M168" i="14" s="1"/>
  <c r="L170" i="14"/>
  <c r="L168" i="14" s="1"/>
  <c r="P169" i="14"/>
  <c r="O169" i="14"/>
  <c r="P166" i="14"/>
  <c r="O166" i="14"/>
  <c r="N166" i="14"/>
  <c r="M166" i="14"/>
  <c r="L166" i="14"/>
  <c r="J164" i="14"/>
  <c r="I159" i="14"/>
  <c r="I148" i="14" s="1"/>
  <c r="K148" i="14" s="1"/>
  <c r="N157" i="14"/>
  <c r="N155" i="14" s="1"/>
  <c r="M157" i="14"/>
  <c r="M155" i="14" s="1"/>
  <c r="P155" i="14" s="1"/>
  <c r="L157" i="14"/>
  <c r="O157" i="14" s="1"/>
  <c r="P156" i="14"/>
  <c r="O156" i="14"/>
  <c r="N154" i="14"/>
  <c r="N152" i="14" s="1"/>
  <c r="M154" i="14"/>
  <c r="M152" i="14" s="1"/>
  <c r="L154" i="14"/>
  <c r="O154" i="14" s="1"/>
  <c r="P153" i="14"/>
  <c r="O153" i="14"/>
  <c r="N150" i="14"/>
  <c r="M150" i="14"/>
  <c r="L150" i="14"/>
  <c r="O150" i="14" s="1"/>
  <c r="J148" i="14"/>
  <c r="I146" i="14"/>
  <c r="I130" i="14" s="1"/>
  <c r="K130" i="14" s="1"/>
  <c r="I145" i="14"/>
  <c r="I144" i="14"/>
  <c r="K144" i="14" s="1"/>
  <c r="N140" i="14"/>
  <c r="M140" i="14"/>
  <c r="M138" i="14" s="1"/>
  <c r="P138" i="14" s="1"/>
  <c r="L140" i="14"/>
  <c r="O140" i="14" s="1"/>
  <c r="P139" i="14"/>
  <c r="O139" i="14"/>
  <c r="N137" i="14"/>
  <c r="N135" i="14" s="1"/>
  <c r="M137" i="14"/>
  <c r="M135" i="14" s="1"/>
  <c r="P135" i="14" s="1"/>
  <c r="L137" i="14"/>
  <c r="O137" i="14" s="1"/>
  <c r="P136" i="14"/>
  <c r="O136" i="14"/>
  <c r="P133" i="14"/>
  <c r="N133" i="14"/>
  <c r="M133" i="14"/>
  <c r="L133" i="14"/>
  <c r="J130" i="14"/>
  <c r="N127" i="14"/>
  <c r="N125" i="14" s="1"/>
  <c r="M127" i="14"/>
  <c r="P127" i="14" s="1"/>
  <c r="L127" i="14"/>
  <c r="P126" i="14"/>
  <c r="O126" i="14"/>
  <c r="N124" i="14"/>
  <c r="M124" i="14"/>
  <c r="P124" i="14" s="1"/>
  <c r="L124" i="14"/>
  <c r="P123" i="14"/>
  <c r="O123" i="14"/>
  <c r="O120" i="14"/>
  <c r="N120" i="14"/>
  <c r="M120" i="14"/>
  <c r="L120" i="14"/>
  <c r="K118" i="14"/>
  <c r="J118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I87" i="14" s="1"/>
  <c r="K87" i="14" s="1"/>
  <c r="J98" i="14"/>
  <c r="J86" i="14" s="1"/>
  <c r="I98" i="14"/>
  <c r="K98" i="14" s="1"/>
  <c r="N96" i="14"/>
  <c r="N94" i="14" s="1"/>
  <c r="M96" i="14"/>
  <c r="P96" i="14" s="1"/>
  <c r="L96" i="14"/>
  <c r="P95" i="14"/>
  <c r="O95" i="14"/>
  <c r="N93" i="14"/>
  <c r="N91" i="14" s="1"/>
  <c r="M93" i="14"/>
  <c r="L93" i="14"/>
  <c r="P92" i="14"/>
  <c r="O92" i="14"/>
  <c r="O89" i="14"/>
  <c r="N89" i="14"/>
  <c r="M89" i="14"/>
  <c r="L89" i="14"/>
  <c r="J87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I78" i="14"/>
  <c r="J77" i="14"/>
  <c r="J76" i="14"/>
  <c r="N74" i="14"/>
  <c r="N72" i="14" s="1"/>
  <c r="M74" i="14"/>
  <c r="P74" i="14" s="1"/>
  <c r="L74" i="14"/>
  <c r="O74" i="14" s="1"/>
  <c r="P73" i="14"/>
  <c r="O73" i="14"/>
  <c r="N71" i="14"/>
  <c r="M71" i="14"/>
  <c r="P71" i="14" s="1"/>
  <c r="L71" i="14"/>
  <c r="O71" i="14" s="1"/>
  <c r="P70" i="14"/>
  <c r="O70" i="14"/>
  <c r="P67" i="14"/>
  <c r="N67" i="14"/>
  <c r="M67" i="14"/>
  <c r="L67" i="14"/>
  <c r="J65" i="14"/>
  <c r="J64" i="14"/>
  <c r="N61" i="14"/>
  <c r="N59" i="14" s="1"/>
  <c r="M61" i="14"/>
  <c r="P61" i="14" s="1"/>
  <c r="L61" i="14"/>
  <c r="L59" i="14" s="1"/>
  <c r="O59" i="14" s="1"/>
  <c r="P60" i="14"/>
  <c r="O60" i="14"/>
  <c r="N58" i="14"/>
  <c r="N56" i="14" s="1"/>
  <c r="M58" i="14"/>
  <c r="L58" i="14"/>
  <c r="L56" i="14" s="1"/>
  <c r="P57" i="14"/>
  <c r="O57" i="14"/>
  <c r="O54" i="14"/>
  <c r="N54" i="14"/>
  <c r="M54" i="14"/>
  <c r="P54" i="14" s="1"/>
  <c r="L54" i="14"/>
  <c r="N49" i="14"/>
  <c r="N47" i="14" s="1"/>
  <c r="M49" i="14"/>
  <c r="P49" i="14" s="1"/>
  <c r="L49" i="14"/>
  <c r="L47" i="14" s="1"/>
  <c r="O47" i="14" s="1"/>
  <c r="P48" i="14"/>
  <c r="O48" i="14"/>
  <c r="N46" i="14"/>
  <c r="M46" i="14"/>
  <c r="L46" i="14"/>
  <c r="L44" i="14" s="1"/>
  <c r="P45" i="14"/>
  <c r="O45" i="14"/>
  <c r="N42" i="14"/>
  <c r="M42" i="14"/>
  <c r="P42" i="14" s="1"/>
  <c r="L42" i="14"/>
  <c r="O42" i="14" s="1"/>
  <c r="P36" i="14"/>
  <c r="N36" i="14"/>
  <c r="N30" i="14" s="1"/>
  <c r="M36" i="14"/>
  <c r="O35" i="14"/>
  <c r="N35" i="14"/>
  <c r="N29" i="14" s="1"/>
  <c r="N28" i="14" s="1"/>
  <c r="M35" i="14"/>
  <c r="M29" i="14" s="1"/>
  <c r="L35" i="14"/>
  <c r="P33" i="14"/>
  <c r="N33" i="14"/>
  <c r="M33" i="14"/>
  <c r="M30" i="14" s="1"/>
  <c r="P30" i="14" s="1"/>
  <c r="P32" i="14"/>
  <c r="O32" i="14"/>
  <c r="N32" i="14"/>
  <c r="M32" i="14"/>
  <c r="L32" i="14"/>
  <c r="N31" i="14"/>
  <c r="O29" i="14"/>
  <c r="L29" i="14"/>
  <c r="P25" i="14"/>
  <c r="N25" i="14"/>
  <c r="M25" i="14"/>
  <c r="M19" i="14" s="1"/>
  <c r="L25" i="14"/>
  <c r="O25" i="14" s="1"/>
  <c r="N22" i="14"/>
  <c r="M22" i="14"/>
  <c r="P22" i="14" s="1"/>
  <c r="L22" i="14"/>
  <c r="L12" i="14" s="1"/>
  <c r="M15" i="14"/>
  <c r="P15" i="14" s="1"/>
  <c r="L15" i="14"/>
  <c r="O15" i="14" s="1"/>
  <c r="M12" i="14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O815" i="13"/>
  <c r="N815" i="13"/>
  <c r="M815" i="13"/>
  <c r="P815" i="13" s="1"/>
  <c r="L815" i="13"/>
  <c r="P810" i="13"/>
  <c r="O810" i="13"/>
  <c r="N810" i="13"/>
  <c r="P809" i="13"/>
  <c r="O809" i="13"/>
  <c r="O808" i="13"/>
  <c r="M808" i="13"/>
  <c r="P808" i="13" s="1"/>
  <c r="L808" i="13"/>
  <c r="P807" i="13"/>
  <c r="M807" i="13"/>
  <c r="L807" i="13"/>
  <c r="O806" i="13"/>
  <c r="N806" i="13"/>
  <c r="M806" i="13"/>
  <c r="P806" i="13" s="1"/>
  <c r="L806" i="13"/>
  <c r="K804" i="13"/>
  <c r="J804" i="13"/>
  <c r="K802" i="13"/>
  <c r="J801" i="13"/>
  <c r="J800" i="13"/>
  <c r="J785" i="13" s="1"/>
  <c r="I800" i="13"/>
  <c r="K800" i="13" s="1"/>
  <c r="P798" i="13"/>
  <c r="O798" i="13"/>
  <c r="P797" i="13"/>
  <c r="O797" i="13"/>
  <c r="P796" i="13"/>
  <c r="N796" i="13"/>
  <c r="M796" i="13"/>
  <c r="L796" i="13"/>
  <c r="O796" i="13" s="1"/>
  <c r="P791" i="13"/>
  <c r="N791" i="13"/>
  <c r="L791" i="13"/>
  <c r="L788" i="13" s="1"/>
  <c r="P790" i="13"/>
  <c r="O790" i="13"/>
  <c r="N789" i="13"/>
  <c r="M789" i="13"/>
  <c r="P789" i="13" s="1"/>
  <c r="P788" i="13"/>
  <c r="N788" i="13"/>
  <c r="M788" i="13"/>
  <c r="O787" i="13"/>
  <c r="N787" i="13"/>
  <c r="N786" i="13" s="1"/>
  <c r="M787" i="13"/>
  <c r="P787" i="13" s="1"/>
  <c r="L787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N772" i="13" s="1"/>
  <c r="P774" i="13"/>
  <c r="O774" i="13"/>
  <c r="P773" i="13"/>
  <c r="N773" i="13"/>
  <c r="M773" i="13"/>
  <c r="L773" i="13"/>
  <c r="O773" i="13" s="1"/>
  <c r="O772" i="13"/>
  <c r="M772" i="13"/>
  <c r="L772" i="13"/>
  <c r="P771" i="13"/>
  <c r="N771" i="13"/>
  <c r="M771" i="13"/>
  <c r="L771" i="13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N756" i="13" s="1"/>
  <c r="P758" i="13"/>
  <c r="O758" i="13"/>
  <c r="P757" i="13"/>
  <c r="N757" i="13"/>
  <c r="M757" i="13"/>
  <c r="L757" i="13"/>
  <c r="O757" i="13" s="1"/>
  <c r="O756" i="13"/>
  <c r="M756" i="13"/>
  <c r="L756" i="13"/>
  <c r="P755" i="13"/>
  <c r="N755" i="13"/>
  <c r="M755" i="13"/>
  <c r="L755" i="13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N739" i="13" s="1"/>
  <c r="P741" i="13"/>
  <c r="O741" i="13"/>
  <c r="P740" i="13"/>
  <c r="N740" i="13"/>
  <c r="M740" i="13"/>
  <c r="L740" i="13"/>
  <c r="O740" i="13" s="1"/>
  <c r="O739" i="13"/>
  <c r="M739" i="13"/>
  <c r="L739" i="13"/>
  <c r="P738" i="13"/>
  <c r="N738" i="13"/>
  <c r="N737" i="13" s="1"/>
  <c r="M738" i="13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N688" i="13" s="1"/>
  <c r="L690" i="13"/>
  <c r="L688" i="13" s="1"/>
  <c r="O688" i="13" s="1"/>
  <c r="M688" i="13"/>
  <c r="P688" i="13" s="1"/>
  <c r="P687" i="13"/>
  <c r="N687" i="13"/>
  <c r="N685" i="13" s="1"/>
  <c r="M687" i="13"/>
  <c r="O686" i="13"/>
  <c r="N686" i="13"/>
  <c r="M686" i="13"/>
  <c r="P686" i="13" s="1"/>
  <c r="L686" i="13"/>
  <c r="J679" i="13"/>
  <c r="J678" i="13"/>
  <c r="I678" i="13"/>
  <c r="K678" i="13" s="1"/>
  <c r="J675" i="13"/>
  <c r="J669" i="13" s="1"/>
  <c r="J654" i="13" s="1"/>
  <c r="I671" i="13"/>
  <c r="K671" i="13" s="1"/>
  <c r="I670" i="13"/>
  <c r="K670" i="13" s="1"/>
  <c r="I669" i="13"/>
  <c r="K672" i="13" s="1"/>
  <c r="P667" i="13"/>
  <c r="O667" i="13"/>
  <c r="P666" i="13"/>
  <c r="O666" i="13"/>
  <c r="O665" i="13"/>
  <c r="N665" i="13"/>
  <c r="M665" i="13"/>
  <c r="P665" i="13" s="1"/>
  <c r="L665" i="13"/>
  <c r="P660" i="13"/>
  <c r="N660" i="13"/>
  <c r="N657" i="13" s="1"/>
  <c r="L660" i="13"/>
  <c r="L658" i="13" s="1"/>
  <c r="O658" i="13" s="1"/>
  <c r="P659" i="13"/>
  <c r="O659" i="13"/>
  <c r="P658" i="13"/>
  <c r="N658" i="13"/>
  <c r="M658" i="13"/>
  <c r="M657" i="13"/>
  <c r="P657" i="13" s="1"/>
  <c r="P656" i="13"/>
  <c r="N656" i="13"/>
  <c r="N655" i="13" s="1"/>
  <c r="M656" i="13"/>
  <c r="L656" i="13"/>
  <c r="M655" i="13"/>
  <c r="P655" i="13" s="1"/>
  <c r="K652" i="13"/>
  <c r="J652" i="13"/>
  <c r="J651" i="13"/>
  <c r="J628" i="13" s="1"/>
  <c r="I651" i="13"/>
  <c r="K651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P634" i="13"/>
  <c r="N634" i="13"/>
  <c r="N631" i="13" s="1"/>
  <c r="L634" i="13"/>
  <c r="O634" i="13" s="1"/>
  <c r="P633" i="13"/>
  <c r="O633" i="13"/>
  <c r="P632" i="13"/>
  <c r="N632" i="13"/>
  <c r="M632" i="13"/>
  <c r="M631" i="13"/>
  <c r="P631" i="13" s="1"/>
  <c r="P630" i="13"/>
  <c r="N630" i="13"/>
  <c r="M630" i="13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5" i="13"/>
  <c r="J593" i="13" s="1"/>
  <c r="J594" i="13"/>
  <c r="I594" i="13"/>
  <c r="I593" i="13"/>
  <c r="I592" i="13" s="1"/>
  <c r="J592" i="13"/>
  <c r="J583" i="13"/>
  <c r="J577" i="13" s="1"/>
  <c r="J582" i="13"/>
  <c r="I577" i="13"/>
  <c r="K577" i="13" s="1"/>
  <c r="J576" i="13"/>
  <c r="J559" i="13" s="1"/>
  <c r="J543" i="13" s="1"/>
  <c r="I576" i="13"/>
  <c r="K576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O557" i="13" s="1"/>
  <c r="P556" i="13"/>
  <c r="O556" i="13"/>
  <c r="P555" i="13"/>
  <c r="N555" i="13"/>
  <c r="N545" i="13" s="1"/>
  <c r="N544" i="13" s="1"/>
  <c r="M555" i="13"/>
  <c r="P549" i="13"/>
  <c r="N549" i="13"/>
  <c r="L549" i="13"/>
  <c r="L547" i="13" s="1"/>
  <c r="O547" i="13" s="1"/>
  <c r="P548" i="13"/>
  <c r="O548" i="13"/>
  <c r="N547" i="13"/>
  <c r="M547" i="13"/>
  <c r="P547" i="13" s="1"/>
  <c r="P546" i="13"/>
  <c r="N546" i="13"/>
  <c r="M546" i="13"/>
  <c r="O545" i="13"/>
  <c r="M545" i="13"/>
  <c r="L545" i="13"/>
  <c r="I542" i="13"/>
  <c r="K542" i="13" s="1"/>
  <c r="I541" i="13"/>
  <c r="K541" i="13" s="1"/>
  <c r="I540" i="13"/>
  <c r="K540" i="13" s="1"/>
  <c r="I539" i="13"/>
  <c r="I538" i="13"/>
  <c r="K538" i="13" s="1"/>
  <c r="I537" i="13"/>
  <c r="I522" i="13" s="1"/>
  <c r="K522" i="13" s="1"/>
  <c r="P535" i="13"/>
  <c r="L535" i="13"/>
  <c r="L533" i="13" s="1"/>
  <c r="O533" i="13" s="1"/>
  <c r="P534" i="13"/>
  <c r="O534" i="13"/>
  <c r="P533" i="13"/>
  <c r="N533" i="13"/>
  <c r="M533" i="13"/>
  <c r="P528" i="13"/>
  <c r="N528" i="13"/>
  <c r="L528" i="13"/>
  <c r="P527" i="13"/>
  <c r="O527" i="13"/>
  <c r="N526" i="13"/>
  <c r="M526" i="13"/>
  <c r="P526" i="13" s="1"/>
  <c r="P525" i="13"/>
  <c r="N525" i="13"/>
  <c r="M525" i="13"/>
  <c r="O524" i="13"/>
  <c r="N524" i="13"/>
  <c r="N523" i="13" s="1"/>
  <c r="M524" i="13"/>
  <c r="P524" i="13" s="1"/>
  <c r="L524" i="13"/>
  <c r="P523" i="13"/>
  <c r="M523" i="13"/>
  <c r="K517" i="13"/>
  <c r="J517" i="13"/>
  <c r="J501" i="13" s="1"/>
  <c r="K516" i="13"/>
  <c r="P514" i="13"/>
  <c r="O514" i="13"/>
  <c r="P513" i="13"/>
  <c r="O513" i="13"/>
  <c r="O512" i="13"/>
  <c r="N512" i="13"/>
  <c r="M512" i="13"/>
  <c r="P512" i="13" s="1"/>
  <c r="L512" i="13"/>
  <c r="P507" i="13"/>
  <c r="O507" i="13"/>
  <c r="N507" i="13"/>
  <c r="P506" i="13"/>
  <c r="O506" i="13"/>
  <c r="O505" i="13"/>
  <c r="N505" i="13"/>
  <c r="M505" i="13"/>
  <c r="P505" i="13" s="1"/>
  <c r="L505" i="13"/>
  <c r="P504" i="13"/>
  <c r="N504" i="13"/>
  <c r="M504" i="13"/>
  <c r="L504" i="13"/>
  <c r="O504" i="13" s="1"/>
  <c r="O503" i="13"/>
  <c r="N503" i="13"/>
  <c r="M503" i="13"/>
  <c r="M502" i="13" s="1"/>
  <c r="P502" i="13" s="1"/>
  <c r="L503" i="13"/>
  <c r="L502" i="13" s="1"/>
  <c r="O502" i="13" s="1"/>
  <c r="N502" i="13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P477" i="13"/>
  <c r="N477" i="13"/>
  <c r="M477" i="13"/>
  <c r="P472" i="13"/>
  <c r="N472" i="13"/>
  <c r="L472" i="13"/>
  <c r="P471" i="13"/>
  <c r="O471" i="13"/>
  <c r="N470" i="13"/>
  <c r="M470" i="13"/>
  <c r="P470" i="13" s="1"/>
  <c r="P469" i="13"/>
  <c r="M469" i="13"/>
  <c r="O468" i="13"/>
  <c r="N468" i="13"/>
  <c r="M468" i="13"/>
  <c r="M467" i="13" s="1"/>
  <c r="P467" i="13" s="1"/>
  <c r="L468" i="13"/>
  <c r="J466" i="13"/>
  <c r="I466" i="13"/>
  <c r="K466" i="13" s="1"/>
  <c r="J465" i="13"/>
  <c r="I465" i="13"/>
  <c r="K465" i="13" s="1"/>
  <c r="I464" i="13"/>
  <c r="I463" i="13"/>
  <c r="I462" i="13"/>
  <c r="K462" i="13" s="1"/>
  <c r="I460" i="13"/>
  <c r="K460" i="13" s="1"/>
  <c r="K458" i="13"/>
  <c r="P456" i="13"/>
  <c r="L456" i="13"/>
  <c r="P455" i="13"/>
  <c r="O455" i="13"/>
  <c r="N454" i="13"/>
  <c r="M454" i="13"/>
  <c r="P454" i="13" s="1"/>
  <c r="P449" i="13"/>
  <c r="N449" i="13"/>
  <c r="L449" i="13"/>
  <c r="O449" i="13" s="1"/>
  <c r="P448" i="13"/>
  <c r="O448" i="13"/>
  <c r="P447" i="13"/>
  <c r="N447" i="13"/>
  <c r="M447" i="13"/>
  <c r="N446" i="13"/>
  <c r="M446" i="13"/>
  <c r="P446" i="13" s="1"/>
  <c r="P445" i="13"/>
  <c r="N445" i="13"/>
  <c r="N444" i="13" s="1"/>
  <c r="M445" i="13"/>
  <c r="M444" i="13" s="1"/>
  <c r="P444" i="13" s="1"/>
  <c r="L445" i="13"/>
  <c r="O445" i="13" s="1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K435" i="13" s="1"/>
  <c r="J434" i="13"/>
  <c r="P431" i="13"/>
  <c r="L431" i="13"/>
  <c r="P430" i="13"/>
  <c r="O430" i="13"/>
  <c r="N429" i="13"/>
  <c r="M429" i="13"/>
  <c r="P429" i="13" s="1"/>
  <c r="P424" i="13"/>
  <c r="N424" i="13"/>
  <c r="L424" i="13"/>
  <c r="O424" i="13" s="1"/>
  <c r="P423" i="13"/>
  <c r="O423" i="13"/>
  <c r="P422" i="13"/>
  <c r="N422" i="13"/>
  <c r="M422" i="13"/>
  <c r="N421" i="13"/>
  <c r="M421" i="13"/>
  <c r="P421" i="13" s="1"/>
  <c r="P420" i="13"/>
  <c r="N420" i="13"/>
  <c r="N419" i="13" s="1"/>
  <c r="M420" i="13"/>
  <c r="M419" i="13" s="1"/>
  <c r="L420" i="13"/>
  <c r="O420" i="13" s="1"/>
  <c r="J418" i="13"/>
  <c r="K413" i="13"/>
  <c r="K412" i="13"/>
  <c r="N410" i="13"/>
  <c r="N408" i="13" s="1"/>
  <c r="M410" i="13"/>
  <c r="P410" i="13" s="1"/>
  <c r="L410" i="13"/>
  <c r="L408" i="13" s="1"/>
  <c r="O408" i="13" s="1"/>
  <c r="P409" i="13"/>
  <c r="O409" i="13"/>
  <c r="N407" i="13"/>
  <c r="N405" i="13" s="1"/>
  <c r="M407" i="13"/>
  <c r="P407" i="13" s="1"/>
  <c r="L407" i="13"/>
  <c r="L405" i="13" s="1"/>
  <c r="O405" i="13" s="1"/>
  <c r="P406" i="13"/>
  <c r="O406" i="13"/>
  <c r="P403" i="13"/>
  <c r="N403" i="13"/>
  <c r="M403" i="13"/>
  <c r="L403" i="13"/>
  <c r="K401" i="13"/>
  <c r="J401" i="13"/>
  <c r="I401" i="13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N392" i="13" s="1"/>
  <c r="M394" i="13"/>
  <c r="P394" i="13" s="1"/>
  <c r="L394" i="13"/>
  <c r="P393" i="13"/>
  <c r="O393" i="13"/>
  <c r="P390" i="13"/>
  <c r="N390" i="13"/>
  <c r="M390" i="13"/>
  <c r="L390" i="13"/>
  <c r="O390" i="13" s="1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M353" i="13"/>
  <c r="L353" i="13"/>
  <c r="L351" i="13" s="1"/>
  <c r="P352" i="13"/>
  <c r="O352" i="13"/>
  <c r="N350" i="13"/>
  <c r="M350" i="13"/>
  <c r="L350" i="13"/>
  <c r="P349" i="13"/>
  <c r="O349" i="13"/>
  <c r="P346" i="13"/>
  <c r="N346" i="13"/>
  <c r="M346" i="13"/>
  <c r="L346" i="13"/>
  <c r="J343" i="13"/>
  <c r="J342" i="13"/>
  <c r="J341" i="13"/>
  <c r="J340" i="13"/>
  <c r="I340" i="13"/>
  <c r="J338" i="13"/>
  <c r="I338" i="13"/>
  <c r="N336" i="13"/>
  <c r="M336" i="13"/>
  <c r="L336" i="13"/>
  <c r="O336" i="13" s="1"/>
  <c r="P335" i="13"/>
  <c r="O335" i="13"/>
  <c r="N333" i="13"/>
  <c r="N331" i="13" s="1"/>
  <c r="M333" i="13"/>
  <c r="L333" i="13"/>
  <c r="P332" i="13"/>
  <c r="O332" i="13"/>
  <c r="P329" i="13"/>
  <c r="O329" i="13"/>
  <c r="N329" i="13"/>
  <c r="M329" i="13"/>
  <c r="L329" i="13"/>
  <c r="I327" i="13"/>
  <c r="I325" i="13"/>
  <c r="I314" i="13" s="1"/>
  <c r="K314" i="13" s="1"/>
  <c r="N323" i="13"/>
  <c r="N321" i="13" s="1"/>
  <c r="M323" i="13"/>
  <c r="P323" i="13" s="1"/>
  <c r="L323" i="13"/>
  <c r="L321" i="13" s="1"/>
  <c r="O321" i="13" s="1"/>
  <c r="P322" i="13"/>
  <c r="O322" i="13"/>
  <c r="N320" i="13"/>
  <c r="N318" i="13" s="1"/>
  <c r="M320" i="13"/>
  <c r="M318" i="13" s="1"/>
  <c r="P318" i="13" s="1"/>
  <c r="L320" i="13"/>
  <c r="O320" i="13" s="1"/>
  <c r="P319" i="13"/>
  <c r="O319" i="13"/>
  <c r="P316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I297" i="13" s="1"/>
  <c r="K297" i="13" s="1"/>
  <c r="N306" i="13"/>
  <c r="N304" i="13" s="1"/>
  <c r="M306" i="13"/>
  <c r="L306" i="13"/>
  <c r="O306" i="13" s="1"/>
  <c r="P305" i="13"/>
  <c r="O305" i="13"/>
  <c r="N303" i="13"/>
  <c r="M303" i="13"/>
  <c r="P303" i="13" s="1"/>
  <c r="L303" i="13"/>
  <c r="P302" i="13"/>
  <c r="O302" i="13"/>
  <c r="P299" i="13"/>
  <c r="N299" i="13"/>
  <c r="M299" i="13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I275" i="13" s="1"/>
  <c r="K275" i="13" s="1"/>
  <c r="I287" i="13"/>
  <c r="K287" i="13" s="1"/>
  <c r="N285" i="13"/>
  <c r="N283" i="13" s="1"/>
  <c r="M285" i="13"/>
  <c r="P285" i="13" s="1"/>
  <c r="L285" i="13"/>
  <c r="L283" i="13" s="1"/>
  <c r="O283" i="13" s="1"/>
  <c r="P284" i="13"/>
  <c r="O284" i="13"/>
  <c r="N282" i="13"/>
  <c r="N280" i="13" s="1"/>
  <c r="M282" i="13"/>
  <c r="L282" i="13"/>
  <c r="L280" i="13" s="1"/>
  <c r="O280" i="13" s="1"/>
  <c r="P281" i="13"/>
  <c r="O281" i="13"/>
  <c r="N278" i="13"/>
  <c r="M278" i="13"/>
  <c r="L278" i="13"/>
  <c r="O278" i="13" s="1"/>
  <c r="J276" i="13"/>
  <c r="I271" i="13"/>
  <c r="K271" i="13" s="1"/>
  <c r="N269" i="13"/>
  <c r="N267" i="13" s="1"/>
  <c r="M269" i="13"/>
  <c r="P269" i="13" s="1"/>
  <c r="L269" i="13"/>
  <c r="O269" i="13" s="1"/>
  <c r="P268" i="13"/>
  <c r="O268" i="13"/>
  <c r="N266" i="13"/>
  <c r="N264" i="13" s="1"/>
  <c r="M266" i="13"/>
  <c r="L266" i="13"/>
  <c r="P265" i="13"/>
  <c r="O265" i="13"/>
  <c r="P262" i="13"/>
  <c r="N262" i="13"/>
  <c r="M262" i="13"/>
  <c r="L262" i="13"/>
  <c r="J260" i="13"/>
  <c r="K258" i="13"/>
  <c r="K257" i="13"/>
  <c r="I255" i="13"/>
  <c r="L253" i="13"/>
  <c r="L252" i="13"/>
  <c r="L251" i="13"/>
  <c r="L250" i="13"/>
  <c r="P249" i="13"/>
  <c r="N249" i="13"/>
  <c r="J248" i="13"/>
  <c r="K247" i="13"/>
  <c r="K246" i="13"/>
  <c r="I244" i="13"/>
  <c r="I237" i="13" s="1"/>
  <c r="L242" i="13"/>
  <c r="L241" i="13"/>
  <c r="L240" i="13"/>
  <c r="L239" i="13"/>
  <c r="P238" i="13"/>
  <c r="N238" i="13"/>
  <c r="J237" i="13"/>
  <c r="J226" i="13" s="1"/>
  <c r="J180" i="13" s="1"/>
  <c r="K236" i="13"/>
  <c r="J236" i="13"/>
  <c r="I236" i="13"/>
  <c r="J235" i="13"/>
  <c r="I235" i="13"/>
  <c r="K235" i="13" s="1"/>
  <c r="J233" i="13"/>
  <c r="N231" i="13"/>
  <c r="N230" i="13"/>
  <c r="N229" i="13"/>
  <c r="N228" i="13"/>
  <c r="N227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I214" i="13"/>
  <c r="K214" i="13" s="1"/>
  <c r="L212" i="13"/>
  <c r="L211" i="13"/>
  <c r="L210" i="13"/>
  <c r="P209" i="13"/>
  <c r="N209" i="13"/>
  <c r="J208" i="13"/>
  <c r="K207" i="13"/>
  <c r="K206" i="13"/>
  <c r="I204" i="13"/>
  <c r="I197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M189" i="13"/>
  <c r="M187" i="13" s="1"/>
  <c r="P187" i="13" s="1"/>
  <c r="L189" i="13"/>
  <c r="O189" i="13" s="1"/>
  <c r="P188" i="13"/>
  <c r="O188" i="13"/>
  <c r="N186" i="13"/>
  <c r="N184" i="13" s="1"/>
  <c r="M186" i="13"/>
  <c r="M184" i="13" s="1"/>
  <c r="L186" i="13"/>
  <c r="L184" i="13" s="1"/>
  <c r="P185" i="13"/>
  <c r="O185" i="13"/>
  <c r="P182" i="13"/>
  <c r="O182" i="13"/>
  <c r="N182" i="13"/>
  <c r="M182" i="13"/>
  <c r="L182" i="13"/>
  <c r="J177" i="13"/>
  <c r="J164" i="13" s="1"/>
  <c r="I176" i="13"/>
  <c r="I174" i="13" s="1"/>
  <c r="J174" i="13"/>
  <c r="N173" i="13"/>
  <c r="N171" i="13" s="1"/>
  <c r="M173" i="13"/>
  <c r="M171" i="13" s="1"/>
  <c r="P171" i="13" s="1"/>
  <c r="L173" i="13"/>
  <c r="O173" i="13" s="1"/>
  <c r="P172" i="13"/>
  <c r="O172" i="13"/>
  <c r="N170" i="13"/>
  <c r="N168" i="13" s="1"/>
  <c r="M170" i="13"/>
  <c r="M168" i="13" s="1"/>
  <c r="L170" i="13"/>
  <c r="L168" i="13" s="1"/>
  <c r="P169" i="13"/>
  <c r="O169" i="13"/>
  <c r="P166" i="13"/>
  <c r="O166" i="13"/>
  <c r="N166" i="13"/>
  <c r="M166" i="13"/>
  <c r="L166" i="13"/>
  <c r="I159" i="13"/>
  <c r="K159" i="13" s="1"/>
  <c r="N157" i="13"/>
  <c r="N155" i="13" s="1"/>
  <c r="M157" i="13"/>
  <c r="M155" i="13" s="1"/>
  <c r="P155" i="13" s="1"/>
  <c r="L157" i="13"/>
  <c r="O157" i="13" s="1"/>
  <c r="P156" i="13"/>
  <c r="O156" i="13"/>
  <c r="N154" i="13"/>
  <c r="M154" i="13"/>
  <c r="M152" i="13" s="1"/>
  <c r="L154" i="13"/>
  <c r="L152" i="13" s="1"/>
  <c r="P153" i="13"/>
  <c r="O153" i="13"/>
  <c r="P150" i="13"/>
  <c r="N150" i="13"/>
  <c r="M150" i="13"/>
  <c r="L150" i="13"/>
  <c r="J148" i="13"/>
  <c r="I146" i="13"/>
  <c r="K146" i="13" s="1"/>
  <c r="I145" i="13"/>
  <c r="I144" i="13"/>
  <c r="K144" i="13" s="1"/>
  <c r="N140" i="13"/>
  <c r="N138" i="13" s="1"/>
  <c r="M140" i="13"/>
  <c r="M138" i="13" s="1"/>
  <c r="P138" i="13" s="1"/>
  <c r="L140" i="13"/>
  <c r="L138" i="13" s="1"/>
  <c r="O138" i="13" s="1"/>
  <c r="P139" i="13"/>
  <c r="O139" i="13"/>
  <c r="N137" i="13"/>
  <c r="N135" i="13" s="1"/>
  <c r="M137" i="13"/>
  <c r="P137" i="13" s="1"/>
  <c r="L137" i="13"/>
  <c r="L135" i="13" s="1"/>
  <c r="O135" i="13" s="1"/>
  <c r="P136" i="13"/>
  <c r="O136" i="13"/>
  <c r="O133" i="13"/>
  <c r="N133" i="13"/>
  <c r="M133" i="13"/>
  <c r="L133" i="13"/>
  <c r="J130" i="13"/>
  <c r="N127" i="13"/>
  <c r="N125" i="13" s="1"/>
  <c r="M127" i="13"/>
  <c r="P127" i="13" s="1"/>
  <c r="L127" i="13"/>
  <c r="O127" i="13" s="1"/>
  <c r="P126" i="13"/>
  <c r="O126" i="13"/>
  <c r="N124" i="13"/>
  <c r="N122" i="13" s="1"/>
  <c r="M124" i="13"/>
  <c r="P124" i="13" s="1"/>
  <c r="L124" i="13"/>
  <c r="O124" i="13" s="1"/>
  <c r="P123" i="13"/>
  <c r="O123" i="13"/>
  <c r="P120" i="13"/>
  <c r="N120" i="13"/>
  <c r="M120" i="13"/>
  <c r="L120" i="13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J87" i="13" s="1"/>
  <c r="I99" i="13"/>
  <c r="K99" i="13" s="1"/>
  <c r="J98" i="13"/>
  <c r="I98" i="13"/>
  <c r="I86" i="13" s="1"/>
  <c r="K86" i="13" s="1"/>
  <c r="N96" i="13"/>
  <c r="N94" i="13" s="1"/>
  <c r="M96" i="13"/>
  <c r="M94" i="13" s="1"/>
  <c r="P94" i="13" s="1"/>
  <c r="L96" i="13"/>
  <c r="P95" i="13"/>
  <c r="O95" i="13"/>
  <c r="N93" i="13"/>
  <c r="N91" i="13" s="1"/>
  <c r="M93" i="13"/>
  <c r="L93" i="13"/>
  <c r="P92" i="13"/>
  <c r="O92" i="13"/>
  <c r="N89" i="13"/>
  <c r="M89" i="13"/>
  <c r="P89" i="13" s="1"/>
  <c r="L89" i="13"/>
  <c r="J86" i="13"/>
  <c r="I84" i="13"/>
  <c r="K84" i="13" s="1"/>
  <c r="I83" i="13"/>
  <c r="I82" i="13"/>
  <c r="K82" i="13" s="1"/>
  <c r="I81" i="13"/>
  <c r="K81" i="13" s="1"/>
  <c r="I80" i="13"/>
  <c r="I79" i="13"/>
  <c r="K79" i="13" s="1"/>
  <c r="I78" i="13"/>
  <c r="K78" i="13" s="1"/>
  <c r="J77" i="13"/>
  <c r="J65" i="13" s="1"/>
  <c r="J76" i="13"/>
  <c r="N74" i="13"/>
  <c r="M74" i="13"/>
  <c r="M72" i="13" s="1"/>
  <c r="P72" i="13" s="1"/>
  <c r="L74" i="13"/>
  <c r="L72" i="13" s="1"/>
  <c r="O72" i="13" s="1"/>
  <c r="P73" i="13"/>
  <c r="O73" i="13"/>
  <c r="N71" i="13"/>
  <c r="N69" i="13" s="1"/>
  <c r="M71" i="13"/>
  <c r="L71" i="13"/>
  <c r="L69" i="13" s="1"/>
  <c r="O69" i="13" s="1"/>
  <c r="P70" i="13"/>
  <c r="O70" i="13"/>
  <c r="N67" i="13"/>
  <c r="M67" i="13"/>
  <c r="P67" i="13" s="1"/>
  <c r="L67" i="13"/>
  <c r="O67" i="13" s="1"/>
  <c r="J64" i="13"/>
  <c r="N61" i="13"/>
  <c r="N59" i="13" s="1"/>
  <c r="M61" i="13"/>
  <c r="P61" i="13" s="1"/>
  <c r="L61" i="13"/>
  <c r="O61" i="13" s="1"/>
  <c r="P60" i="13"/>
  <c r="O60" i="13"/>
  <c r="N58" i="13"/>
  <c r="M58" i="13"/>
  <c r="L58" i="13"/>
  <c r="P57" i="13"/>
  <c r="O57" i="13"/>
  <c r="P54" i="13"/>
  <c r="O54" i="13"/>
  <c r="N54" i="13"/>
  <c r="M54" i="13"/>
  <c r="L54" i="13"/>
  <c r="N49" i="13"/>
  <c r="M49" i="13"/>
  <c r="P49" i="13" s="1"/>
  <c r="L49" i="13"/>
  <c r="P48" i="13"/>
  <c r="O48" i="13"/>
  <c r="N46" i="13"/>
  <c r="N44" i="13" s="1"/>
  <c r="M46" i="13"/>
  <c r="M44" i="13" s="1"/>
  <c r="L46" i="13"/>
  <c r="P45" i="13"/>
  <c r="O45" i="13"/>
  <c r="O42" i="13"/>
  <c r="N42" i="13"/>
  <c r="M42" i="13"/>
  <c r="P42" i="13" s="1"/>
  <c r="L42" i="13"/>
  <c r="P36" i="13"/>
  <c r="N36" i="13"/>
  <c r="M36" i="13"/>
  <c r="P35" i="13"/>
  <c r="O35" i="13"/>
  <c r="N35" i="13"/>
  <c r="M35" i="13"/>
  <c r="L35" i="13"/>
  <c r="N34" i="13"/>
  <c r="M34" i="13"/>
  <c r="P34" i="13" s="1"/>
  <c r="N33" i="13"/>
  <c r="M33" i="13"/>
  <c r="P32" i="13"/>
  <c r="N32" i="13"/>
  <c r="N31" i="13" s="1"/>
  <c r="M32" i="13"/>
  <c r="M29" i="13" s="1"/>
  <c r="L32" i="13"/>
  <c r="M31" i="13"/>
  <c r="P31" i="13" s="1"/>
  <c r="N30" i="13"/>
  <c r="P29" i="13"/>
  <c r="P25" i="13"/>
  <c r="N25" i="13"/>
  <c r="M25" i="13"/>
  <c r="L25" i="13"/>
  <c r="O25" i="13" s="1"/>
  <c r="O22" i="13"/>
  <c r="N22" i="13"/>
  <c r="M22" i="13"/>
  <c r="P22" i="13" s="1"/>
  <c r="L22" i="13"/>
  <c r="N19" i="13"/>
  <c r="M19" i="13"/>
  <c r="L19" i="13"/>
  <c r="P15" i="13"/>
  <c r="N15" i="13"/>
  <c r="M15" i="13"/>
  <c r="M12" i="13"/>
  <c r="P12" i="13" s="1"/>
  <c r="L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N808" i="12"/>
  <c r="M808" i="12"/>
  <c r="L808" i="12"/>
  <c r="O808" i="12" s="1"/>
  <c r="O807" i="12"/>
  <c r="M807" i="12"/>
  <c r="L807" i="12"/>
  <c r="P806" i="12"/>
  <c r="N806" i="12"/>
  <c r="M806" i="12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N786" i="12" s="1"/>
  <c r="L791" i="12"/>
  <c r="O791" i="12" s="1"/>
  <c r="P790" i="12"/>
  <c r="O790" i="12"/>
  <c r="P789" i="12"/>
  <c r="N789" i="12"/>
  <c r="M789" i="12"/>
  <c r="L789" i="12"/>
  <c r="O789" i="12" s="1"/>
  <c r="M788" i="12"/>
  <c r="P787" i="12"/>
  <c r="N787" i="12"/>
  <c r="M787" i="12"/>
  <c r="L787" i="12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N773" i="12" s="1"/>
  <c r="P774" i="12"/>
  <c r="O774" i="12"/>
  <c r="O773" i="12"/>
  <c r="M773" i="12"/>
  <c r="P773" i="12" s="1"/>
  <c r="L773" i="12"/>
  <c r="P772" i="12"/>
  <c r="N772" i="12"/>
  <c r="N770" i="12" s="1"/>
  <c r="M772" i="12"/>
  <c r="L772" i="12"/>
  <c r="O772" i="12" s="1"/>
  <c r="O771" i="12"/>
  <c r="N771" i="12"/>
  <c r="M771" i="12"/>
  <c r="L771" i="12"/>
  <c r="L770" i="12"/>
  <c r="O770" i="12" s="1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N757" i="12" s="1"/>
  <c r="P758" i="12"/>
  <c r="O758" i="12"/>
  <c r="O757" i="12"/>
  <c r="M757" i="12"/>
  <c r="P757" i="12" s="1"/>
  <c r="L757" i="12"/>
  <c r="P756" i="12"/>
  <c r="N756" i="12"/>
  <c r="N754" i="12" s="1"/>
  <c r="M756" i="12"/>
  <c r="L756" i="12"/>
  <c r="O756" i="12" s="1"/>
  <c r="O755" i="12"/>
  <c r="N755" i="12"/>
  <c r="M755" i="12"/>
  <c r="L755" i="12"/>
  <c r="L754" i="12"/>
  <c r="O754" i="12" s="1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N740" i="12" s="1"/>
  <c r="P741" i="12"/>
  <c r="O741" i="12"/>
  <c r="O740" i="12"/>
  <c r="M740" i="12"/>
  <c r="P740" i="12" s="1"/>
  <c r="L740" i="12"/>
  <c r="P739" i="12"/>
  <c r="N739" i="12"/>
  <c r="N737" i="12" s="1"/>
  <c r="M739" i="12"/>
  <c r="L739" i="12"/>
  <c r="O739" i="12" s="1"/>
  <c r="O738" i="12"/>
  <c r="N738" i="12"/>
  <c r="M738" i="12"/>
  <c r="L738" i="12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P690" i="12"/>
  <c r="N690" i="12"/>
  <c r="N687" i="12" s="1"/>
  <c r="L690" i="12"/>
  <c r="O690" i="12" s="1"/>
  <c r="P688" i="12"/>
  <c r="N688" i="12"/>
  <c r="M688" i="12"/>
  <c r="M687" i="12"/>
  <c r="P686" i="12"/>
  <c r="N686" i="12"/>
  <c r="N685" i="12" s="1"/>
  <c r="M686" i="12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J654" i="12" s="1"/>
  <c r="I669" i="12"/>
  <c r="K673" i="12" s="1"/>
  <c r="P667" i="12"/>
  <c r="O667" i="12"/>
  <c r="P666" i="12"/>
  <c r="O666" i="12"/>
  <c r="P665" i="12"/>
  <c r="N665" i="12"/>
  <c r="M665" i="12"/>
  <c r="L665" i="12"/>
  <c r="O665" i="12" s="1"/>
  <c r="P660" i="12"/>
  <c r="N660" i="12"/>
  <c r="L660" i="12"/>
  <c r="L658" i="12" s="1"/>
  <c r="O658" i="12" s="1"/>
  <c r="P659" i="12"/>
  <c r="O659" i="12"/>
  <c r="N658" i="12"/>
  <c r="M658" i="12"/>
  <c r="P658" i="12" s="1"/>
  <c r="P657" i="12"/>
  <c r="N657" i="12"/>
  <c r="M657" i="12"/>
  <c r="O656" i="12"/>
  <c r="N656" i="12"/>
  <c r="M656" i="12"/>
  <c r="M655" i="12" s="1"/>
  <c r="P655" i="12" s="1"/>
  <c r="L656" i="12"/>
  <c r="N655" i="12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P634" i="12"/>
  <c r="N634" i="12"/>
  <c r="L634" i="12"/>
  <c r="P633" i="12"/>
  <c r="O633" i="12"/>
  <c r="N632" i="12"/>
  <c r="M632" i="12"/>
  <c r="P632" i="12" s="1"/>
  <c r="P631" i="12"/>
  <c r="N631" i="12"/>
  <c r="M631" i="12"/>
  <c r="O630" i="12"/>
  <c r="N630" i="12"/>
  <c r="M630" i="12"/>
  <c r="P630" i="12" s="1"/>
  <c r="L630" i="12"/>
  <c r="P629" i="12"/>
  <c r="N629" i="12"/>
  <c r="M629" i="12"/>
  <c r="J621" i="12"/>
  <c r="I621" i="12"/>
  <c r="K621" i="12" s="1"/>
  <c r="J620" i="12"/>
  <c r="I620" i="12"/>
  <c r="K613" i="12"/>
  <c r="J613" i="12"/>
  <c r="K612" i="12"/>
  <c r="J612" i="12"/>
  <c r="K611" i="12"/>
  <c r="J611" i="12"/>
  <c r="J604" i="12"/>
  <c r="J603" i="12"/>
  <c r="J593" i="12" s="1"/>
  <c r="J596" i="12"/>
  <c r="J594" i="12" s="1"/>
  <c r="J595" i="12"/>
  <c r="I594" i="12"/>
  <c r="K594" i="12" s="1"/>
  <c r="I593" i="12"/>
  <c r="I592" i="12" s="1"/>
  <c r="J583" i="12"/>
  <c r="J582" i="12"/>
  <c r="J577" i="12"/>
  <c r="I577" i="12"/>
  <c r="K577" i="12" s="1"/>
  <c r="J576" i="12"/>
  <c r="I576" i="12"/>
  <c r="I559" i="12" s="1"/>
  <c r="J569" i="12"/>
  <c r="I569" i="12"/>
  <c r="J568" i="12"/>
  <c r="I568" i="12"/>
  <c r="K568" i="12" s="1"/>
  <c r="J561" i="12"/>
  <c r="I561" i="12"/>
  <c r="K561" i="12" s="1"/>
  <c r="J560" i="12"/>
  <c r="I560" i="12"/>
  <c r="K560" i="12" s="1"/>
  <c r="J559" i="12"/>
  <c r="J543" i="12" s="1"/>
  <c r="P557" i="12"/>
  <c r="L557" i="12"/>
  <c r="L555" i="12" s="1"/>
  <c r="O555" i="12" s="1"/>
  <c r="P556" i="12"/>
  <c r="O556" i="12"/>
  <c r="N555" i="12"/>
  <c r="N545" i="12" s="1"/>
  <c r="M555" i="12"/>
  <c r="P555" i="12" s="1"/>
  <c r="N551" i="12"/>
  <c r="N549" i="12" s="1"/>
  <c r="P549" i="12"/>
  <c r="L549" i="12"/>
  <c r="L547" i="12" s="1"/>
  <c r="P548" i="12"/>
  <c r="O548" i="12"/>
  <c r="M547" i="12"/>
  <c r="P547" i="12" s="1"/>
  <c r="P546" i="12"/>
  <c r="M546" i="12"/>
  <c r="O545" i="12"/>
  <c r="M545" i="12"/>
  <c r="M544" i="12" s="1"/>
  <c r="P544" i="12" s="1"/>
  <c r="L545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P535" i="12"/>
  <c r="L535" i="12"/>
  <c r="L533" i="12" s="1"/>
  <c r="O533" i="12" s="1"/>
  <c r="P534" i="12"/>
  <c r="O534" i="12"/>
  <c r="P533" i="12"/>
  <c r="N533" i="12"/>
  <c r="M533" i="12"/>
  <c r="P528" i="12"/>
  <c r="N528" i="12"/>
  <c r="L528" i="12"/>
  <c r="L526" i="12" s="1"/>
  <c r="O526" i="12" s="1"/>
  <c r="P527" i="12"/>
  <c r="O527" i="12"/>
  <c r="N526" i="12"/>
  <c r="M526" i="12"/>
  <c r="P526" i="12" s="1"/>
  <c r="P525" i="12"/>
  <c r="N525" i="12"/>
  <c r="N523" i="12" s="1"/>
  <c r="M525" i="12"/>
  <c r="O524" i="12"/>
  <c r="N524" i="12"/>
  <c r="M524" i="12"/>
  <c r="L524" i="12"/>
  <c r="K517" i="12"/>
  <c r="J517" i="12"/>
  <c r="K516" i="12"/>
  <c r="P514" i="12"/>
  <c r="O514" i="12"/>
  <c r="P513" i="12"/>
  <c r="O513" i="12"/>
  <c r="O512" i="12"/>
  <c r="N512" i="12"/>
  <c r="M512" i="12"/>
  <c r="P512" i="12" s="1"/>
  <c r="L512" i="12"/>
  <c r="P507" i="12"/>
  <c r="O507" i="12"/>
  <c r="N507" i="12"/>
  <c r="P506" i="12"/>
  <c r="O506" i="12"/>
  <c r="O505" i="12"/>
  <c r="M505" i="12"/>
  <c r="P505" i="12" s="1"/>
  <c r="L505" i="12"/>
  <c r="P504" i="12"/>
  <c r="M504" i="12"/>
  <c r="L504" i="12"/>
  <c r="O503" i="12"/>
  <c r="N503" i="12"/>
  <c r="M503" i="12"/>
  <c r="P503" i="12" s="1"/>
  <c r="L503" i="12"/>
  <c r="P502" i="12"/>
  <c r="M502" i="12"/>
  <c r="K501" i="12"/>
  <c r="J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L477" i="12" s="1"/>
  <c r="O477" i="12" s="1"/>
  <c r="P478" i="12"/>
  <c r="O478" i="12"/>
  <c r="P477" i="12"/>
  <c r="N477" i="12"/>
  <c r="M477" i="12"/>
  <c r="P472" i="12"/>
  <c r="N472" i="12"/>
  <c r="L472" i="12"/>
  <c r="P471" i="12"/>
  <c r="O471" i="12"/>
  <c r="N470" i="12"/>
  <c r="M470" i="12"/>
  <c r="P470" i="12" s="1"/>
  <c r="P469" i="12"/>
  <c r="N469" i="12"/>
  <c r="M469" i="12"/>
  <c r="O468" i="12"/>
  <c r="N468" i="12"/>
  <c r="M468" i="12"/>
  <c r="P468" i="12" s="1"/>
  <c r="L468" i="12"/>
  <c r="P467" i="12"/>
  <c r="N467" i="12"/>
  <c r="M467" i="12"/>
  <c r="J466" i="12"/>
  <c r="I466" i="12"/>
  <c r="J465" i="12"/>
  <c r="I465" i="12"/>
  <c r="K465" i="12" s="1"/>
  <c r="I464" i="12"/>
  <c r="I463" i="12"/>
  <c r="I462" i="12"/>
  <c r="I460" i="12"/>
  <c r="I442" i="12" s="1"/>
  <c r="K442" i="12" s="1"/>
  <c r="K458" i="12"/>
  <c r="P456" i="12"/>
  <c r="L456" i="12"/>
  <c r="O456" i="12" s="1"/>
  <c r="P455" i="12"/>
  <c r="O455" i="12"/>
  <c r="N454" i="12"/>
  <c r="M454" i="12"/>
  <c r="P454" i="12" s="1"/>
  <c r="P449" i="12"/>
  <c r="N449" i="12"/>
  <c r="N446" i="12" s="1"/>
  <c r="N444" i="12" s="1"/>
  <c r="L449" i="12"/>
  <c r="O449" i="12" s="1"/>
  <c r="P448" i="12"/>
  <c r="O448" i="12"/>
  <c r="P447" i="12"/>
  <c r="N447" i="12"/>
  <c r="M447" i="12"/>
  <c r="M446" i="12"/>
  <c r="P445" i="12"/>
  <c r="N445" i="12"/>
  <c r="M445" i="12"/>
  <c r="L445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J434" i="12"/>
  <c r="P431" i="12"/>
  <c r="L431" i="12"/>
  <c r="O431" i="12" s="1"/>
  <c r="P430" i="12"/>
  <c r="O430" i="12"/>
  <c r="N429" i="12"/>
  <c r="M429" i="12"/>
  <c r="P429" i="12" s="1"/>
  <c r="P424" i="12"/>
  <c r="N424" i="12"/>
  <c r="N421" i="12" s="1"/>
  <c r="L424" i="12"/>
  <c r="O424" i="12" s="1"/>
  <c r="P423" i="12"/>
  <c r="O423" i="12"/>
  <c r="P422" i="12"/>
  <c r="N422" i="12"/>
  <c r="M422" i="12"/>
  <c r="M421" i="12"/>
  <c r="P421" i="12" s="1"/>
  <c r="P420" i="12"/>
  <c r="N420" i="12"/>
  <c r="N419" i="12" s="1"/>
  <c r="M420" i="12"/>
  <c r="L420" i="12"/>
  <c r="M419" i="12"/>
  <c r="J418" i="12"/>
  <c r="K413" i="12"/>
  <c r="K412" i="12"/>
  <c r="N410" i="12"/>
  <c r="N408" i="12" s="1"/>
  <c r="M410" i="12"/>
  <c r="L410" i="12"/>
  <c r="O410" i="12" s="1"/>
  <c r="P409" i="12"/>
  <c r="O409" i="12"/>
  <c r="N407" i="12"/>
  <c r="M407" i="12"/>
  <c r="L407" i="12"/>
  <c r="P406" i="12"/>
  <c r="O406" i="12"/>
  <c r="P403" i="12"/>
  <c r="N403" i="12"/>
  <c r="M403" i="12"/>
  <c r="L403" i="12"/>
  <c r="O403" i="12" s="1"/>
  <c r="K401" i="12"/>
  <c r="J401" i="12"/>
  <c r="I401" i="12"/>
  <c r="K400" i="12"/>
  <c r="K399" i="12"/>
  <c r="N397" i="12"/>
  <c r="N395" i="12" s="1"/>
  <c r="M397" i="12"/>
  <c r="M395" i="12" s="1"/>
  <c r="P395" i="12" s="1"/>
  <c r="L397" i="12"/>
  <c r="O397" i="12" s="1"/>
  <c r="P396" i="12"/>
  <c r="O396" i="12"/>
  <c r="N394" i="12"/>
  <c r="M394" i="12"/>
  <c r="L394" i="12"/>
  <c r="O394" i="12" s="1"/>
  <c r="P393" i="12"/>
  <c r="O393" i="12"/>
  <c r="P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P352" i="12"/>
  <c r="O352" i="12"/>
  <c r="N350" i="12"/>
  <c r="M350" i="12"/>
  <c r="M348" i="12" s="1"/>
  <c r="L350" i="12"/>
  <c r="L348" i="12" s="1"/>
  <c r="P349" i="12"/>
  <c r="O349" i="12"/>
  <c r="P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L336" i="12"/>
  <c r="P335" i="12"/>
  <c r="O335" i="12"/>
  <c r="N333" i="12"/>
  <c r="M333" i="12"/>
  <c r="L333" i="12"/>
  <c r="L331" i="12" s="1"/>
  <c r="P332" i="12"/>
  <c r="O332" i="12"/>
  <c r="P329" i="12"/>
  <c r="O329" i="12"/>
  <c r="N329" i="12"/>
  <c r="M329" i="12"/>
  <c r="L329" i="12"/>
  <c r="I327" i="12"/>
  <c r="I325" i="12"/>
  <c r="K325" i="12" s="1"/>
  <c r="N323" i="12"/>
  <c r="M323" i="12"/>
  <c r="P323" i="12" s="1"/>
  <c r="L323" i="12"/>
  <c r="O323" i="12" s="1"/>
  <c r="P322" i="12"/>
  <c r="O322" i="12"/>
  <c r="N320" i="12"/>
  <c r="N318" i="12" s="1"/>
  <c r="M320" i="12"/>
  <c r="L320" i="12"/>
  <c r="O320" i="12" s="1"/>
  <c r="P319" i="12"/>
  <c r="O319" i="12"/>
  <c r="N316" i="12"/>
  <c r="M316" i="12"/>
  <c r="P316" i="12" s="1"/>
  <c r="L316" i="12"/>
  <c r="O316" i="12" s="1"/>
  <c r="J314" i="12"/>
  <c r="I312" i="12"/>
  <c r="K312" i="12" s="1"/>
  <c r="I311" i="12"/>
  <c r="K311" i="12" s="1"/>
  <c r="I310" i="12"/>
  <c r="K310" i="12" s="1"/>
  <c r="I309" i="12"/>
  <c r="N306" i="12"/>
  <c r="M306" i="12"/>
  <c r="M304" i="12" s="1"/>
  <c r="P304" i="12" s="1"/>
  <c r="L306" i="12"/>
  <c r="O306" i="12" s="1"/>
  <c r="P305" i="12"/>
  <c r="O305" i="12"/>
  <c r="N303" i="12"/>
  <c r="M303" i="12"/>
  <c r="M301" i="12" s="1"/>
  <c r="L303" i="12"/>
  <c r="L301" i="12" s="1"/>
  <c r="P302" i="12"/>
  <c r="O302" i="12"/>
  <c r="O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87" i="12"/>
  <c r="K287" i="12" s="1"/>
  <c r="N285" i="12"/>
  <c r="N283" i="12" s="1"/>
  <c r="M285" i="12"/>
  <c r="L285" i="12"/>
  <c r="P284" i="12"/>
  <c r="O284" i="12"/>
  <c r="N282" i="12"/>
  <c r="M282" i="12"/>
  <c r="M280" i="12" s="1"/>
  <c r="L282" i="12"/>
  <c r="P281" i="12"/>
  <c r="O281" i="12"/>
  <c r="O278" i="12"/>
  <c r="N278" i="12"/>
  <c r="M278" i="12"/>
  <c r="P278" i="12" s="1"/>
  <c r="L278" i="12"/>
  <c r="J276" i="12"/>
  <c r="I271" i="12"/>
  <c r="K271" i="12" s="1"/>
  <c r="N269" i="12"/>
  <c r="N267" i="12" s="1"/>
  <c r="M269" i="12"/>
  <c r="P269" i="12" s="1"/>
  <c r="L269" i="12"/>
  <c r="O269" i="12" s="1"/>
  <c r="P268" i="12"/>
  <c r="O268" i="12"/>
  <c r="N266" i="12"/>
  <c r="N264" i="12" s="1"/>
  <c r="M266" i="12"/>
  <c r="L266" i="12"/>
  <c r="P265" i="12"/>
  <c r="O265" i="12"/>
  <c r="P262" i="12"/>
  <c r="N262" i="12"/>
  <c r="M262" i="12"/>
  <c r="L262" i="12"/>
  <c r="O262" i="12" s="1"/>
  <c r="J260" i="12"/>
  <c r="K258" i="12"/>
  <c r="K257" i="12"/>
  <c r="I255" i="12"/>
  <c r="K255" i="12" s="1"/>
  <c r="L253" i="12"/>
  <c r="L252" i="12"/>
  <c r="L251" i="12"/>
  <c r="L250" i="12"/>
  <c r="P249" i="12"/>
  <c r="N249" i="12"/>
  <c r="J248" i="12"/>
  <c r="K247" i="12"/>
  <c r="K246" i="12"/>
  <c r="I244" i="12"/>
  <c r="K244" i="12" s="1"/>
  <c r="L242" i="12"/>
  <c r="L241" i="12"/>
  <c r="L240" i="12"/>
  <c r="L239" i="12"/>
  <c r="P238" i="12"/>
  <c r="N238" i="12"/>
  <c r="J237" i="12"/>
  <c r="J236" i="12"/>
  <c r="I236" i="12"/>
  <c r="K236" i="12" s="1"/>
  <c r="J235" i="12"/>
  <c r="I235" i="12"/>
  <c r="K235" i="12" s="1"/>
  <c r="J233" i="12"/>
  <c r="N231" i="12"/>
  <c r="N230" i="12"/>
  <c r="N229" i="12"/>
  <c r="N228" i="12"/>
  <c r="N227" i="12"/>
  <c r="J226" i="12"/>
  <c r="I225" i="12"/>
  <c r="I224" i="12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P191" i="12"/>
  <c r="L191" i="12"/>
  <c r="O191" i="12" s="1"/>
  <c r="J190" i="12"/>
  <c r="N189" i="12"/>
  <c r="N187" i="12" s="1"/>
  <c r="M189" i="12"/>
  <c r="M187" i="12" s="1"/>
  <c r="P187" i="12" s="1"/>
  <c r="L189" i="12"/>
  <c r="O189" i="12" s="1"/>
  <c r="P188" i="12"/>
  <c r="O188" i="12"/>
  <c r="N186" i="12"/>
  <c r="N184" i="12" s="1"/>
  <c r="M186" i="12"/>
  <c r="M184" i="12" s="1"/>
  <c r="L186" i="12"/>
  <c r="L184" i="12" s="1"/>
  <c r="P185" i="12"/>
  <c r="O185" i="12"/>
  <c r="P182" i="12"/>
  <c r="N182" i="12"/>
  <c r="M182" i="12"/>
  <c r="L182" i="12"/>
  <c r="J180" i="12"/>
  <c r="J177" i="12"/>
  <c r="I176" i="12"/>
  <c r="K176" i="12" s="1"/>
  <c r="J174" i="12"/>
  <c r="N173" i="12"/>
  <c r="N171" i="12" s="1"/>
  <c r="M173" i="12"/>
  <c r="P173" i="12" s="1"/>
  <c r="L173" i="12"/>
  <c r="O173" i="12" s="1"/>
  <c r="P172" i="12"/>
  <c r="O172" i="12"/>
  <c r="N170" i="12"/>
  <c r="N168" i="12" s="1"/>
  <c r="M170" i="12"/>
  <c r="L170" i="12"/>
  <c r="L168" i="12" s="1"/>
  <c r="P169" i="12"/>
  <c r="O169" i="12"/>
  <c r="P166" i="12"/>
  <c r="N166" i="12"/>
  <c r="M166" i="12"/>
  <c r="L166" i="12"/>
  <c r="J164" i="12"/>
  <c r="I159" i="12"/>
  <c r="K159" i="12" s="1"/>
  <c r="N157" i="12"/>
  <c r="N155" i="12" s="1"/>
  <c r="M157" i="12"/>
  <c r="P157" i="12" s="1"/>
  <c r="L157" i="12"/>
  <c r="O157" i="12" s="1"/>
  <c r="P156" i="12"/>
  <c r="O156" i="12"/>
  <c r="N154" i="12"/>
  <c r="M154" i="12"/>
  <c r="L154" i="12"/>
  <c r="O154" i="12" s="1"/>
  <c r="P153" i="12"/>
  <c r="O153" i="12"/>
  <c r="P150" i="12"/>
  <c r="N150" i="12"/>
  <c r="M150" i="12"/>
  <c r="L150" i="12"/>
  <c r="O150" i="12" s="1"/>
  <c r="J148" i="12"/>
  <c r="I146" i="12"/>
  <c r="K146" i="12" s="1"/>
  <c r="I145" i="12"/>
  <c r="K145" i="12" s="1"/>
  <c r="I144" i="12"/>
  <c r="N140" i="12"/>
  <c r="M140" i="12"/>
  <c r="M138" i="12" s="1"/>
  <c r="L140" i="12"/>
  <c r="L138" i="12" s="1"/>
  <c r="P139" i="12"/>
  <c r="O139" i="12"/>
  <c r="N137" i="12"/>
  <c r="M137" i="12"/>
  <c r="M135" i="12" s="1"/>
  <c r="L137" i="12"/>
  <c r="L135" i="12" s="1"/>
  <c r="P136" i="12"/>
  <c r="O136" i="12"/>
  <c r="O133" i="12"/>
  <c r="N133" i="12"/>
  <c r="M133" i="12"/>
  <c r="L133" i="12"/>
  <c r="J130" i="12"/>
  <c r="N127" i="12"/>
  <c r="N125" i="12" s="1"/>
  <c r="M127" i="12"/>
  <c r="P127" i="12" s="1"/>
  <c r="L127" i="12"/>
  <c r="O127" i="12" s="1"/>
  <c r="P126" i="12"/>
  <c r="O126" i="12"/>
  <c r="N124" i="12"/>
  <c r="N122" i="12" s="1"/>
  <c r="M124" i="12"/>
  <c r="P124" i="12" s="1"/>
  <c r="L124" i="12"/>
  <c r="P123" i="12"/>
  <c r="O123" i="12"/>
  <c r="P120" i="12"/>
  <c r="N120" i="12"/>
  <c r="M120" i="12"/>
  <c r="L120" i="12"/>
  <c r="O120" i="12" s="1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J87" i="12" s="1"/>
  <c r="I99" i="12"/>
  <c r="K99" i="12" s="1"/>
  <c r="J98" i="12"/>
  <c r="I98" i="12"/>
  <c r="I86" i="12" s="1"/>
  <c r="N96" i="12"/>
  <c r="M96" i="12"/>
  <c r="M94" i="12" s="1"/>
  <c r="P94" i="12" s="1"/>
  <c r="L96" i="12"/>
  <c r="L94" i="12" s="1"/>
  <c r="O94" i="12" s="1"/>
  <c r="P95" i="12"/>
  <c r="O95" i="12"/>
  <c r="N93" i="12"/>
  <c r="N91" i="12" s="1"/>
  <c r="M93" i="12"/>
  <c r="M91" i="12" s="1"/>
  <c r="L93" i="12"/>
  <c r="P92" i="12"/>
  <c r="O92" i="12"/>
  <c r="P89" i="12"/>
  <c r="N89" i="12"/>
  <c r="M89" i="12"/>
  <c r="L89" i="12"/>
  <c r="J86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K78" i="12" s="1"/>
  <c r="J77" i="12"/>
  <c r="J76" i="12"/>
  <c r="J64" i="12" s="1"/>
  <c r="N74" i="12"/>
  <c r="N72" i="12" s="1"/>
  <c r="M74" i="12"/>
  <c r="L74" i="12"/>
  <c r="O74" i="12" s="1"/>
  <c r="P73" i="12"/>
  <c r="O73" i="12"/>
  <c r="N71" i="12"/>
  <c r="M71" i="12"/>
  <c r="L71" i="12"/>
  <c r="O71" i="12" s="1"/>
  <c r="P70" i="12"/>
  <c r="O70" i="12"/>
  <c r="O67" i="12"/>
  <c r="N67" i="12"/>
  <c r="M67" i="12"/>
  <c r="L67" i="12"/>
  <c r="J65" i="12"/>
  <c r="N61" i="12"/>
  <c r="N59" i="12" s="1"/>
  <c r="M61" i="12"/>
  <c r="L61" i="12"/>
  <c r="L59" i="12" s="1"/>
  <c r="P60" i="12"/>
  <c r="O60" i="12"/>
  <c r="N58" i="12"/>
  <c r="M58" i="12"/>
  <c r="L58" i="12"/>
  <c r="L56" i="12" s="1"/>
  <c r="P57" i="12"/>
  <c r="O57" i="12"/>
  <c r="P54" i="12"/>
  <c r="N54" i="12"/>
  <c r="M54" i="12"/>
  <c r="L54" i="12"/>
  <c r="O54" i="12" s="1"/>
  <c r="N49" i="12"/>
  <c r="N47" i="12" s="1"/>
  <c r="M49" i="12"/>
  <c r="P49" i="12" s="1"/>
  <c r="L49" i="12"/>
  <c r="O49" i="12" s="1"/>
  <c r="P48" i="12"/>
  <c r="O48" i="12"/>
  <c r="N46" i="12"/>
  <c r="N44" i="12" s="1"/>
  <c r="M46" i="12"/>
  <c r="M44" i="12" s="1"/>
  <c r="L46" i="12"/>
  <c r="L44" i="12" s="1"/>
  <c r="P45" i="12"/>
  <c r="O45" i="12"/>
  <c r="O42" i="12"/>
  <c r="N42" i="12"/>
  <c r="M42" i="12"/>
  <c r="L42" i="12"/>
  <c r="P36" i="12"/>
  <c r="N36" i="12"/>
  <c r="N30" i="12" s="1"/>
  <c r="M36" i="12"/>
  <c r="N35" i="12"/>
  <c r="M35" i="12"/>
  <c r="P35" i="12" s="1"/>
  <c r="L35" i="12"/>
  <c r="O35" i="12" s="1"/>
  <c r="N34" i="12"/>
  <c r="N33" i="12"/>
  <c r="M33" i="12"/>
  <c r="M30" i="12" s="1"/>
  <c r="P30" i="12" s="1"/>
  <c r="P32" i="12"/>
  <c r="N32" i="12"/>
  <c r="N29" i="12" s="1"/>
  <c r="N28" i="12" s="1"/>
  <c r="M32" i="12"/>
  <c r="L32" i="12"/>
  <c r="N31" i="12"/>
  <c r="M29" i="12"/>
  <c r="P29" i="12" s="1"/>
  <c r="P25" i="12"/>
  <c r="N25" i="12"/>
  <c r="N19" i="12" s="1"/>
  <c r="M25" i="12"/>
  <c r="L25" i="12"/>
  <c r="O22" i="12"/>
  <c r="N22" i="12"/>
  <c r="M22" i="12"/>
  <c r="L22" i="12"/>
  <c r="M15" i="12"/>
  <c r="P15" i="12" s="1"/>
  <c r="N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N805" i="11" s="1"/>
  <c r="P809" i="11"/>
  <c r="O809" i="11"/>
  <c r="N808" i="11"/>
  <c r="M808" i="11"/>
  <c r="P808" i="11" s="1"/>
  <c r="L808" i="11"/>
  <c r="O808" i="11" s="1"/>
  <c r="M807" i="11"/>
  <c r="L807" i="11"/>
  <c r="O807" i="11" s="1"/>
  <c r="P806" i="11"/>
  <c r="N806" i="11"/>
  <c r="M806" i="11"/>
  <c r="L806" i="11"/>
  <c r="K804" i="11"/>
  <c r="J804" i="11"/>
  <c r="J803" i="11"/>
  <c r="I803" i="11"/>
  <c r="J802" i="11"/>
  <c r="J801" i="11"/>
  <c r="I801" i="11"/>
  <c r="J800" i="11"/>
  <c r="P798" i="11"/>
  <c r="O798" i="11"/>
  <c r="P797" i="11"/>
  <c r="O797" i="11"/>
  <c r="P796" i="11"/>
  <c r="N796" i="11"/>
  <c r="M796" i="11"/>
  <c r="L796" i="11"/>
  <c r="O796" i="11" s="1"/>
  <c r="P791" i="11"/>
  <c r="N791" i="11"/>
  <c r="L791" i="11"/>
  <c r="L789" i="11" s="1"/>
  <c r="O789" i="11" s="1"/>
  <c r="P790" i="11"/>
  <c r="O790" i="11"/>
  <c r="P789" i="11"/>
  <c r="N789" i="11"/>
  <c r="M789" i="11"/>
  <c r="P788" i="11"/>
  <c r="N788" i="11"/>
  <c r="M788" i="11"/>
  <c r="O787" i="11"/>
  <c r="N787" i="11"/>
  <c r="M787" i="11"/>
  <c r="M786" i="11" s="1"/>
  <c r="P786" i="11" s="1"/>
  <c r="L787" i="11"/>
  <c r="N786" i="11"/>
  <c r="P782" i="11"/>
  <c r="O782" i="11"/>
  <c r="P781" i="11"/>
  <c r="O781" i="11"/>
  <c r="N780" i="11"/>
  <c r="M780" i="11"/>
  <c r="P780" i="11" s="1"/>
  <c r="L780" i="11"/>
  <c r="O780" i="11" s="1"/>
  <c r="P775" i="11"/>
  <c r="O775" i="11"/>
  <c r="N775" i="11"/>
  <c r="P774" i="11"/>
  <c r="O774" i="11"/>
  <c r="P773" i="11"/>
  <c r="N773" i="11"/>
  <c r="M773" i="11"/>
  <c r="L773" i="11"/>
  <c r="O773" i="11" s="1"/>
  <c r="P772" i="11"/>
  <c r="O772" i="11"/>
  <c r="N772" i="11"/>
  <c r="M772" i="11"/>
  <c r="L772" i="11"/>
  <c r="P771" i="11"/>
  <c r="O771" i="11"/>
  <c r="N771" i="11"/>
  <c r="N770" i="11" s="1"/>
  <c r="M771" i="11"/>
  <c r="L771" i="11"/>
  <c r="O770" i="11"/>
  <c r="M770" i="11"/>
  <c r="P770" i="11" s="1"/>
  <c r="L770" i="11"/>
  <c r="K769" i="11"/>
  <c r="J769" i="11"/>
  <c r="P766" i="11"/>
  <c r="O766" i="11"/>
  <c r="P765" i="11"/>
  <c r="O765" i="11"/>
  <c r="N764" i="11"/>
  <c r="M764" i="11"/>
  <c r="P764" i="11" s="1"/>
  <c r="L764" i="11"/>
  <c r="O764" i="11" s="1"/>
  <c r="P759" i="11"/>
  <c r="O759" i="11"/>
  <c r="N759" i="11"/>
  <c r="P758" i="11"/>
  <c r="O758" i="11"/>
  <c r="P757" i="11"/>
  <c r="N757" i="11"/>
  <c r="M757" i="11"/>
  <c r="L757" i="11"/>
  <c r="O757" i="11" s="1"/>
  <c r="P756" i="11"/>
  <c r="O756" i="11"/>
  <c r="N756" i="11"/>
  <c r="M756" i="11"/>
  <c r="L756" i="11"/>
  <c r="P755" i="11"/>
  <c r="O755" i="11"/>
  <c r="N755" i="11"/>
  <c r="N754" i="11" s="1"/>
  <c r="M755" i="11"/>
  <c r="L755" i="11"/>
  <c r="O754" i="11"/>
  <c r="M754" i="11"/>
  <c r="P754" i="11" s="1"/>
  <c r="L754" i="11"/>
  <c r="K753" i="11"/>
  <c r="J753" i="11"/>
  <c r="P749" i="11"/>
  <c r="O749" i="11"/>
  <c r="P748" i="11"/>
  <c r="O748" i="11"/>
  <c r="N747" i="11"/>
  <c r="M747" i="11"/>
  <c r="P747" i="11" s="1"/>
  <c r="L747" i="11"/>
  <c r="O747" i="11" s="1"/>
  <c r="P742" i="11"/>
  <c r="O742" i="11"/>
  <c r="N742" i="11"/>
  <c r="P741" i="11"/>
  <c r="O741" i="11"/>
  <c r="P740" i="11"/>
  <c r="N740" i="11"/>
  <c r="M740" i="11"/>
  <c r="L740" i="11"/>
  <c r="O740" i="11" s="1"/>
  <c r="P739" i="11"/>
  <c r="O739" i="11"/>
  <c r="N739" i="11"/>
  <c r="M739" i="11"/>
  <c r="L739" i="11"/>
  <c r="P738" i="11"/>
  <c r="O738" i="11"/>
  <c r="N738" i="11"/>
  <c r="N737" i="11" s="1"/>
  <c r="M738" i="11"/>
  <c r="L738" i="11"/>
  <c r="O737" i="11"/>
  <c r="M737" i="11"/>
  <c r="P737" i="11" s="1"/>
  <c r="L737" i="11"/>
  <c r="K736" i="11"/>
  <c r="J736" i="11"/>
  <c r="J729" i="11"/>
  <c r="I729" i="11"/>
  <c r="K729" i="11" s="1"/>
  <c r="J728" i="11"/>
  <c r="I728" i="11"/>
  <c r="J727" i="11"/>
  <c r="J726" i="11"/>
  <c r="I726" i="11"/>
  <c r="J725" i="11"/>
  <c r="I725" i="11"/>
  <c r="K725" i="11" s="1"/>
  <c r="J724" i="11"/>
  <c r="J723" i="11"/>
  <c r="I723" i="11"/>
  <c r="K723" i="11" s="1"/>
  <c r="I722" i="11"/>
  <c r="I721" i="1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J700" i="11"/>
  <c r="I700" i="11"/>
  <c r="J699" i="11"/>
  <c r="I699" i="11"/>
  <c r="P697" i="11"/>
  <c r="O697" i="11"/>
  <c r="P696" i="11"/>
  <c r="O696" i="11"/>
  <c r="P695" i="11"/>
  <c r="N695" i="11"/>
  <c r="M695" i="11"/>
  <c r="L695" i="11"/>
  <c r="O695" i="11" s="1"/>
  <c r="P690" i="11"/>
  <c r="N690" i="11"/>
  <c r="L690" i="11"/>
  <c r="N688" i="11"/>
  <c r="M688" i="11"/>
  <c r="P688" i="11" s="1"/>
  <c r="P687" i="11"/>
  <c r="N687" i="11"/>
  <c r="M687" i="11"/>
  <c r="O686" i="11"/>
  <c r="N686" i="11"/>
  <c r="M686" i="11"/>
  <c r="M685" i="11" s="1"/>
  <c r="P685" i="11" s="1"/>
  <c r="L686" i="11"/>
  <c r="N685" i="11"/>
  <c r="J679" i="11"/>
  <c r="J678" i="11" s="1"/>
  <c r="I678" i="11"/>
  <c r="K678" i="11" s="1"/>
  <c r="J675" i="11"/>
  <c r="J669" i="11" s="1"/>
  <c r="J654" i="11" s="1"/>
  <c r="I671" i="11"/>
  <c r="K671" i="11" s="1"/>
  <c r="I670" i="11"/>
  <c r="K670" i="11" s="1"/>
  <c r="I669" i="11"/>
  <c r="P667" i="11"/>
  <c r="O667" i="11"/>
  <c r="P666" i="11"/>
  <c r="O666" i="11"/>
  <c r="O665" i="11"/>
  <c r="N665" i="11"/>
  <c r="M665" i="11"/>
  <c r="P665" i="11" s="1"/>
  <c r="L665" i="11"/>
  <c r="P660" i="11"/>
  <c r="N660" i="11"/>
  <c r="N657" i="11" s="1"/>
  <c r="N655" i="11" s="1"/>
  <c r="L660" i="11"/>
  <c r="P659" i="11"/>
  <c r="O659" i="11"/>
  <c r="M658" i="11"/>
  <c r="P658" i="11" s="1"/>
  <c r="M657" i="11"/>
  <c r="P656" i="11"/>
  <c r="N656" i="11"/>
  <c r="M656" i="11"/>
  <c r="L656" i="1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N639" i="11"/>
  <c r="M639" i="11"/>
  <c r="P639" i="11" s="1"/>
  <c r="P634" i="11"/>
  <c r="N634" i="11"/>
  <c r="N631" i="11" s="1"/>
  <c r="L634" i="11"/>
  <c r="O634" i="11" s="1"/>
  <c r="P633" i="11"/>
  <c r="O633" i="11"/>
  <c r="P632" i="11"/>
  <c r="N632" i="11"/>
  <c r="M632" i="11"/>
  <c r="M631" i="11"/>
  <c r="P631" i="11" s="1"/>
  <c r="N630" i="11"/>
  <c r="M630" i="11"/>
  <c r="P630" i="11" s="1"/>
  <c r="L630" i="11"/>
  <c r="M629" i="11"/>
  <c r="P629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3" i="11" s="1"/>
  <c r="J592" i="11" s="1"/>
  <c r="J596" i="11"/>
  <c r="J595" i="11"/>
  <c r="J594" i="11"/>
  <c r="I594" i="11"/>
  <c r="I593" i="11"/>
  <c r="J583" i="11"/>
  <c r="J577" i="11" s="1"/>
  <c r="J582" i="11"/>
  <c r="I577" i="11"/>
  <c r="K577" i="11" s="1"/>
  <c r="J576" i="11"/>
  <c r="J559" i="11" s="1"/>
  <c r="I576" i="11"/>
  <c r="K576" i="11" s="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L555" i="11" s="1"/>
  <c r="O555" i="11" s="1"/>
  <c r="P556" i="11"/>
  <c r="O556" i="11"/>
  <c r="P555" i="11"/>
  <c r="N555" i="11"/>
  <c r="N545" i="11" s="1"/>
  <c r="N544" i="11" s="1"/>
  <c r="M555" i="11"/>
  <c r="P549" i="11"/>
  <c r="N549" i="11"/>
  <c r="L549" i="11"/>
  <c r="P548" i="11"/>
  <c r="O548" i="11"/>
  <c r="N547" i="11"/>
  <c r="M547" i="11"/>
  <c r="P547" i="11" s="1"/>
  <c r="P546" i="11"/>
  <c r="N546" i="11"/>
  <c r="M546" i="11"/>
  <c r="O545" i="11"/>
  <c r="M545" i="11"/>
  <c r="P545" i="11" s="1"/>
  <c r="L545" i="11"/>
  <c r="J543" i="11"/>
  <c r="I542" i="11"/>
  <c r="K542" i="11" s="1"/>
  <c r="I541" i="11"/>
  <c r="K541" i="11" s="1"/>
  <c r="I540" i="11"/>
  <c r="K540" i="11" s="1"/>
  <c r="I539" i="11"/>
  <c r="I538" i="11"/>
  <c r="K538" i="11" s="1"/>
  <c r="I537" i="11"/>
  <c r="P535" i="11"/>
  <c r="L535" i="11"/>
  <c r="O535" i="11" s="1"/>
  <c r="P534" i="11"/>
  <c r="O534" i="11"/>
  <c r="P533" i="11"/>
  <c r="N533" i="11"/>
  <c r="M533" i="11"/>
  <c r="P528" i="11"/>
  <c r="N528" i="11"/>
  <c r="N525" i="11" s="1"/>
  <c r="L528" i="11"/>
  <c r="P527" i="11"/>
  <c r="O527" i="11"/>
  <c r="P526" i="11"/>
  <c r="N526" i="11"/>
  <c r="M526" i="11"/>
  <c r="P525" i="11"/>
  <c r="M525" i="11"/>
  <c r="M523" i="11" s="1"/>
  <c r="P523" i="11" s="1"/>
  <c r="O524" i="11"/>
  <c r="N524" i="11"/>
  <c r="M524" i="11"/>
  <c r="P524" i="11" s="1"/>
  <c r="L524" i="11"/>
  <c r="N523" i="11"/>
  <c r="K517" i="11"/>
  <c r="J517" i="11"/>
  <c r="K516" i="11"/>
  <c r="P514" i="11"/>
  <c r="O514" i="11"/>
  <c r="P513" i="11"/>
  <c r="O513" i="11"/>
  <c r="P512" i="11"/>
  <c r="O512" i="11"/>
  <c r="N512" i="11"/>
  <c r="M512" i="11"/>
  <c r="L512" i="11"/>
  <c r="P507" i="11"/>
  <c r="O507" i="11"/>
  <c r="N507" i="11"/>
  <c r="N505" i="11" s="1"/>
  <c r="P506" i="11"/>
  <c r="O506" i="11"/>
  <c r="O505" i="11"/>
  <c r="M505" i="11"/>
  <c r="P505" i="11" s="1"/>
  <c r="L505" i="11"/>
  <c r="N504" i="11"/>
  <c r="N502" i="11" s="1"/>
  <c r="M504" i="11"/>
  <c r="P504" i="11" s="1"/>
  <c r="L504" i="11"/>
  <c r="O504" i="11" s="1"/>
  <c r="N503" i="11"/>
  <c r="M503" i="11"/>
  <c r="L503" i="11"/>
  <c r="O503" i="11" s="1"/>
  <c r="L502" i="11"/>
  <c r="O502" i="11" s="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P477" i="11"/>
  <c r="N477" i="11"/>
  <c r="M477" i="11"/>
  <c r="P472" i="11"/>
  <c r="N472" i="11"/>
  <c r="L472" i="11"/>
  <c r="O472" i="11" s="1"/>
  <c r="P471" i="11"/>
  <c r="O471" i="11"/>
  <c r="N470" i="11"/>
  <c r="M470" i="11"/>
  <c r="P470" i="11" s="1"/>
  <c r="N469" i="11"/>
  <c r="N467" i="11" s="1"/>
  <c r="M469" i="11"/>
  <c r="P469" i="11" s="1"/>
  <c r="N468" i="11"/>
  <c r="M468" i="11"/>
  <c r="L468" i="11"/>
  <c r="O468" i="11" s="1"/>
  <c r="J466" i="11"/>
  <c r="I466" i="11"/>
  <c r="K466" i="11" s="1"/>
  <c r="J465" i="11"/>
  <c r="I465" i="11"/>
  <c r="K465" i="11" s="1"/>
  <c r="I464" i="11"/>
  <c r="I463" i="11"/>
  <c r="I462" i="11"/>
  <c r="K462" i="11" s="1"/>
  <c r="I460" i="11"/>
  <c r="K458" i="11"/>
  <c r="P456" i="11"/>
  <c r="L456" i="11"/>
  <c r="P455" i="11"/>
  <c r="O455" i="11"/>
  <c r="P454" i="11"/>
  <c r="N454" i="11"/>
  <c r="M454" i="11"/>
  <c r="P449" i="11"/>
  <c r="N449" i="11"/>
  <c r="N446" i="11" s="1"/>
  <c r="L449" i="11"/>
  <c r="P448" i="11"/>
  <c r="O448" i="11"/>
  <c r="P447" i="11"/>
  <c r="N447" i="11"/>
  <c r="M447" i="11"/>
  <c r="M446" i="11"/>
  <c r="P446" i="11" s="1"/>
  <c r="N445" i="11"/>
  <c r="M445" i="11"/>
  <c r="P445" i="11" s="1"/>
  <c r="L445" i="11"/>
  <c r="M444" i="11"/>
  <c r="P444" i="11" s="1"/>
  <c r="J443" i="11"/>
  <c r="I443" i="11"/>
  <c r="K443" i="11" s="1"/>
  <c r="J442" i="11"/>
  <c r="I441" i="11"/>
  <c r="K441" i="11" s="1"/>
  <c r="I440" i="11"/>
  <c r="K440" i="11" s="1"/>
  <c r="I439" i="11"/>
  <c r="I438" i="11"/>
  <c r="I437" i="11"/>
  <c r="K437" i="11" s="1"/>
  <c r="I435" i="11"/>
  <c r="I433" i="11" s="1"/>
  <c r="J434" i="11"/>
  <c r="P431" i="11"/>
  <c r="L431" i="11"/>
  <c r="O431" i="11" s="1"/>
  <c r="P430" i="11"/>
  <c r="O430" i="11"/>
  <c r="P429" i="11"/>
  <c r="N429" i="11"/>
  <c r="M429" i="11"/>
  <c r="P424" i="11"/>
  <c r="N424" i="11"/>
  <c r="L424" i="11"/>
  <c r="L422" i="11" s="1"/>
  <c r="O422" i="11" s="1"/>
  <c r="P423" i="11"/>
  <c r="O423" i="11"/>
  <c r="P422" i="11"/>
  <c r="N422" i="11"/>
  <c r="M422" i="11"/>
  <c r="M421" i="11"/>
  <c r="P421" i="11" s="1"/>
  <c r="N420" i="11"/>
  <c r="M420" i="11"/>
  <c r="P420" i="11" s="1"/>
  <c r="L420" i="11"/>
  <c r="M419" i="11"/>
  <c r="J418" i="11"/>
  <c r="K413" i="11"/>
  <c r="K412" i="11"/>
  <c r="N410" i="11"/>
  <c r="N408" i="11" s="1"/>
  <c r="M410" i="11"/>
  <c r="L410" i="11"/>
  <c r="O410" i="11" s="1"/>
  <c r="P409" i="11"/>
  <c r="O409" i="11"/>
  <c r="N407" i="11"/>
  <c r="M407" i="11"/>
  <c r="L407" i="11"/>
  <c r="O407" i="11" s="1"/>
  <c r="P406" i="11"/>
  <c r="O406" i="11"/>
  <c r="P403" i="11"/>
  <c r="N403" i="11"/>
  <c r="M403" i="11"/>
  <c r="L403" i="11"/>
  <c r="K401" i="11"/>
  <c r="J401" i="11"/>
  <c r="I401" i="11"/>
  <c r="K400" i="11"/>
  <c r="K399" i="11"/>
  <c r="N397" i="11"/>
  <c r="N395" i="11" s="1"/>
  <c r="M397" i="11"/>
  <c r="M395" i="11" s="1"/>
  <c r="P395" i="11" s="1"/>
  <c r="L397" i="11"/>
  <c r="O397" i="11" s="1"/>
  <c r="P396" i="11"/>
  <c r="O396" i="11"/>
  <c r="N394" i="11"/>
  <c r="N392" i="11" s="1"/>
  <c r="M394" i="11"/>
  <c r="M392" i="11" s="1"/>
  <c r="P392" i="11" s="1"/>
  <c r="L394" i="11"/>
  <c r="O394" i="11" s="1"/>
  <c r="P393" i="11"/>
  <c r="O393" i="11"/>
  <c r="N390" i="11"/>
  <c r="M390" i="11"/>
  <c r="P390" i="11" s="1"/>
  <c r="L390" i="11"/>
  <c r="O390" i="11" s="1"/>
  <c r="K388" i="11"/>
  <c r="J388" i="11"/>
  <c r="I388" i="1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M351" i="11" s="1"/>
  <c r="L353" i="11"/>
  <c r="L351" i="11" s="1"/>
  <c r="P352" i="11"/>
  <c r="O352" i="11"/>
  <c r="N350" i="11"/>
  <c r="N348" i="11" s="1"/>
  <c r="M350" i="11"/>
  <c r="M348" i="11" s="1"/>
  <c r="L350" i="11"/>
  <c r="P349" i="11"/>
  <c r="O349" i="11"/>
  <c r="N346" i="11"/>
  <c r="M346" i="11"/>
  <c r="P346" i="11" s="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L336" i="11"/>
  <c r="L334" i="11" s="1"/>
  <c r="O334" i="11" s="1"/>
  <c r="P335" i="11"/>
  <c r="O335" i="11"/>
  <c r="N333" i="11"/>
  <c r="M333" i="11"/>
  <c r="M331" i="11" s="1"/>
  <c r="L333" i="11"/>
  <c r="L331" i="11" s="1"/>
  <c r="P332" i="11"/>
  <c r="O332" i="11"/>
  <c r="N329" i="11"/>
  <c r="M329" i="11"/>
  <c r="P329" i="11" s="1"/>
  <c r="L329" i="11"/>
  <c r="O329" i="11" s="1"/>
  <c r="I327" i="11"/>
  <c r="I325" i="11"/>
  <c r="I314" i="11" s="1"/>
  <c r="K314" i="11" s="1"/>
  <c r="N323" i="11"/>
  <c r="N321" i="11" s="1"/>
  <c r="M323" i="11"/>
  <c r="P323" i="11" s="1"/>
  <c r="L323" i="11"/>
  <c r="L321" i="11" s="1"/>
  <c r="O321" i="11" s="1"/>
  <c r="P322" i="11"/>
  <c r="O322" i="11"/>
  <c r="N320" i="11"/>
  <c r="N318" i="11" s="1"/>
  <c r="M320" i="11"/>
  <c r="L320" i="11"/>
  <c r="L318" i="11" s="1"/>
  <c r="O318" i="11" s="1"/>
  <c r="P319" i="11"/>
  <c r="O319" i="11"/>
  <c r="O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I297" i="11" s="1"/>
  <c r="N306" i="11"/>
  <c r="N304" i="11" s="1"/>
  <c r="M306" i="11"/>
  <c r="P306" i="11" s="1"/>
  <c r="L306" i="11"/>
  <c r="O306" i="11" s="1"/>
  <c r="P305" i="11"/>
  <c r="O305" i="11"/>
  <c r="N303" i="11"/>
  <c r="N301" i="11" s="1"/>
  <c r="M303" i="11"/>
  <c r="L303" i="11"/>
  <c r="P302" i="11"/>
  <c r="O302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K287" i="11" s="1"/>
  <c r="N285" i="11"/>
  <c r="N283" i="11" s="1"/>
  <c r="M285" i="11"/>
  <c r="P285" i="11" s="1"/>
  <c r="L285" i="11"/>
  <c r="O285" i="11" s="1"/>
  <c r="P284" i="11"/>
  <c r="O284" i="11"/>
  <c r="N282" i="11"/>
  <c r="N280" i="11" s="1"/>
  <c r="M282" i="11"/>
  <c r="L282" i="11"/>
  <c r="P281" i="11"/>
  <c r="O281" i="11"/>
  <c r="P278" i="11"/>
  <c r="N278" i="11"/>
  <c r="M278" i="11"/>
  <c r="L278" i="11"/>
  <c r="O278" i="11" s="1"/>
  <c r="J276" i="11"/>
  <c r="I271" i="11"/>
  <c r="I260" i="11" s="1"/>
  <c r="N269" i="11"/>
  <c r="N267" i="11" s="1"/>
  <c r="M269" i="11"/>
  <c r="P269" i="11" s="1"/>
  <c r="L269" i="11"/>
  <c r="O269" i="11" s="1"/>
  <c r="P268" i="11"/>
  <c r="O268" i="11"/>
  <c r="N266" i="11"/>
  <c r="N264" i="11" s="1"/>
  <c r="M266" i="11"/>
  <c r="L266" i="11"/>
  <c r="P265" i="11"/>
  <c r="O265" i="11"/>
  <c r="O262" i="11"/>
  <c r="N262" i="11"/>
  <c r="M262" i="11"/>
  <c r="L262" i="1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N227" i="11" s="1"/>
  <c r="J237" i="11"/>
  <c r="J226" i="11" s="1"/>
  <c r="J180" i="11" s="1"/>
  <c r="K236" i="11"/>
  <c r="J236" i="11"/>
  <c r="I236" i="11"/>
  <c r="K235" i="11"/>
  <c r="J235" i="11"/>
  <c r="I235" i="11"/>
  <c r="J233" i="11"/>
  <c r="N231" i="11"/>
  <c r="N230" i="11"/>
  <c r="N229" i="11"/>
  <c r="N228" i="11"/>
  <c r="I225" i="11"/>
  <c r="K225" i="11" s="1"/>
  <c r="I224" i="11"/>
  <c r="I216" i="11" s="1"/>
  <c r="I223" i="11"/>
  <c r="K223" i="11" s="1"/>
  <c r="L220" i="11"/>
  <c r="L219" i="11"/>
  <c r="L218" i="11"/>
  <c r="P217" i="11"/>
  <c r="N217" i="11"/>
  <c r="J216" i="11"/>
  <c r="I215" i="1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L189" i="11"/>
  <c r="P188" i="11"/>
  <c r="O188" i="11"/>
  <c r="N186" i="11"/>
  <c r="M186" i="11"/>
  <c r="M184" i="11" s="1"/>
  <c r="L186" i="11"/>
  <c r="P185" i="11"/>
  <c r="O185" i="11"/>
  <c r="O182" i="11"/>
  <c r="N182" i="11"/>
  <c r="M182" i="11"/>
  <c r="L182" i="11"/>
  <c r="J177" i="11"/>
  <c r="I176" i="11"/>
  <c r="J174" i="11"/>
  <c r="N173" i="11"/>
  <c r="N171" i="11" s="1"/>
  <c r="M173" i="11"/>
  <c r="P173" i="11" s="1"/>
  <c r="L173" i="11"/>
  <c r="L171" i="11" s="1"/>
  <c r="O171" i="11" s="1"/>
  <c r="P172" i="11"/>
  <c r="O172" i="11"/>
  <c r="N170" i="11"/>
  <c r="M170" i="11"/>
  <c r="M168" i="11" s="1"/>
  <c r="L170" i="11"/>
  <c r="P169" i="11"/>
  <c r="O169" i="11"/>
  <c r="O166" i="11"/>
  <c r="N166" i="11"/>
  <c r="M166" i="11"/>
  <c r="L166" i="11"/>
  <c r="J164" i="11"/>
  <c r="I159" i="11"/>
  <c r="I148" i="11" s="1"/>
  <c r="N157" i="11"/>
  <c r="N155" i="11" s="1"/>
  <c r="M157" i="11"/>
  <c r="L157" i="11"/>
  <c r="O157" i="11" s="1"/>
  <c r="P156" i="11"/>
  <c r="O156" i="11"/>
  <c r="N154" i="11"/>
  <c r="M154" i="11"/>
  <c r="L154" i="11"/>
  <c r="P153" i="11"/>
  <c r="O153" i="11"/>
  <c r="O150" i="11"/>
  <c r="N150" i="11"/>
  <c r="M150" i="11"/>
  <c r="L150" i="11"/>
  <c r="J148" i="11"/>
  <c r="I146" i="11"/>
  <c r="I130" i="11" s="1"/>
  <c r="K130" i="11" s="1"/>
  <c r="I145" i="11"/>
  <c r="I144" i="11"/>
  <c r="K144" i="11" s="1"/>
  <c r="N140" i="11"/>
  <c r="N138" i="11" s="1"/>
  <c r="M140" i="11"/>
  <c r="L140" i="11"/>
  <c r="P139" i="11"/>
  <c r="O139" i="11"/>
  <c r="N137" i="11"/>
  <c r="N135" i="11" s="1"/>
  <c r="M137" i="11"/>
  <c r="L137" i="11"/>
  <c r="P136" i="11"/>
  <c r="O136" i="11"/>
  <c r="P133" i="11"/>
  <c r="N133" i="11"/>
  <c r="M133" i="11"/>
  <c r="L133" i="11"/>
  <c r="J130" i="11"/>
  <c r="N127" i="11"/>
  <c r="M127" i="11"/>
  <c r="P127" i="11" s="1"/>
  <c r="L127" i="11"/>
  <c r="O127" i="11" s="1"/>
  <c r="P126" i="11"/>
  <c r="O126" i="11"/>
  <c r="N124" i="11"/>
  <c r="N122" i="11" s="1"/>
  <c r="M124" i="11"/>
  <c r="L124" i="11"/>
  <c r="O124" i="11" s="1"/>
  <c r="P123" i="11"/>
  <c r="O123" i="11"/>
  <c r="O120" i="11"/>
  <c r="N120" i="11"/>
  <c r="M120" i="11"/>
  <c r="L120" i="11"/>
  <c r="I116" i="11"/>
  <c r="K116" i="11" s="1"/>
  <c r="I115" i="1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J98" i="11"/>
  <c r="J86" i="11" s="1"/>
  <c r="I98" i="11"/>
  <c r="N96" i="11"/>
  <c r="N94" i="11" s="1"/>
  <c r="M96" i="11"/>
  <c r="P96" i="11" s="1"/>
  <c r="L96" i="11"/>
  <c r="L94" i="11" s="1"/>
  <c r="O94" i="11" s="1"/>
  <c r="P95" i="11"/>
  <c r="O95" i="11"/>
  <c r="N93" i="11"/>
  <c r="M93" i="11"/>
  <c r="L93" i="11"/>
  <c r="L91" i="11" s="1"/>
  <c r="P92" i="11"/>
  <c r="O92" i="11"/>
  <c r="O89" i="11"/>
  <c r="N89" i="11"/>
  <c r="M89" i="11"/>
  <c r="L89" i="11"/>
  <c r="J87" i="11"/>
  <c r="I84" i="11"/>
  <c r="K84" i="11" s="1"/>
  <c r="I83" i="11"/>
  <c r="K83" i="11" s="1"/>
  <c r="I82" i="11"/>
  <c r="I81" i="11"/>
  <c r="K81" i="11" s="1"/>
  <c r="I80" i="11"/>
  <c r="K80" i="11" s="1"/>
  <c r="I79" i="11"/>
  <c r="I78" i="11"/>
  <c r="K78" i="11" s="1"/>
  <c r="J77" i="11"/>
  <c r="J65" i="11" s="1"/>
  <c r="J76" i="11"/>
  <c r="N74" i="11"/>
  <c r="N72" i="11" s="1"/>
  <c r="M74" i="11"/>
  <c r="L74" i="11"/>
  <c r="L72" i="11" s="1"/>
  <c r="O72" i="11" s="1"/>
  <c r="P73" i="11"/>
  <c r="O73" i="11"/>
  <c r="N71" i="11"/>
  <c r="N69" i="11" s="1"/>
  <c r="M71" i="11"/>
  <c r="L71" i="11"/>
  <c r="P70" i="11"/>
  <c r="O70" i="11"/>
  <c r="P67" i="11"/>
  <c r="N67" i="11"/>
  <c r="M67" i="11"/>
  <c r="L67" i="11"/>
  <c r="J64" i="11"/>
  <c r="N61" i="11"/>
  <c r="N59" i="11" s="1"/>
  <c r="M61" i="11"/>
  <c r="L61" i="11"/>
  <c r="P60" i="11"/>
  <c r="O60" i="11"/>
  <c r="N58" i="11"/>
  <c r="N56" i="11" s="1"/>
  <c r="M58" i="11"/>
  <c r="M56" i="11" s="1"/>
  <c r="L58" i="11"/>
  <c r="P57" i="11"/>
  <c r="O57" i="11"/>
  <c r="O54" i="11"/>
  <c r="N54" i="11"/>
  <c r="M54" i="11"/>
  <c r="L54" i="11"/>
  <c r="N49" i="11"/>
  <c r="N47" i="11" s="1"/>
  <c r="M49" i="11"/>
  <c r="L49" i="11"/>
  <c r="O49" i="11" s="1"/>
  <c r="P48" i="11"/>
  <c r="O48" i="11"/>
  <c r="N46" i="11"/>
  <c r="M46" i="11"/>
  <c r="L46" i="11"/>
  <c r="P45" i="11"/>
  <c r="O45" i="11"/>
  <c r="P42" i="11"/>
  <c r="N42" i="11"/>
  <c r="M42" i="11"/>
  <c r="L42" i="11"/>
  <c r="N36" i="11"/>
  <c r="M36" i="11"/>
  <c r="P36" i="11" s="1"/>
  <c r="P35" i="11"/>
  <c r="N35" i="11"/>
  <c r="N34" i="11" s="1"/>
  <c r="M35" i="11"/>
  <c r="L35" i="11"/>
  <c r="P33" i="11"/>
  <c r="N33" i="11"/>
  <c r="N30" i="11" s="1"/>
  <c r="M33" i="11"/>
  <c r="O32" i="11"/>
  <c r="N32" i="11"/>
  <c r="N31" i="11" s="1"/>
  <c r="M32" i="11"/>
  <c r="M31" i="11" s="1"/>
  <c r="P31" i="11" s="1"/>
  <c r="L32" i="11"/>
  <c r="L29" i="11"/>
  <c r="O29" i="11" s="1"/>
  <c r="O25" i="11"/>
  <c r="N25" i="11"/>
  <c r="M25" i="11"/>
  <c r="M19" i="11" s="1"/>
  <c r="L25" i="11"/>
  <c r="N22" i="11"/>
  <c r="M22" i="11"/>
  <c r="P22" i="11" s="1"/>
  <c r="L22" i="11"/>
  <c r="L15" i="11"/>
  <c r="O15" i="11" s="1"/>
  <c r="P12" i="11"/>
  <c r="M12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N805" i="10" s="1"/>
  <c r="P809" i="10"/>
  <c r="O809" i="10"/>
  <c r="N808" i="10"/>
  <c r="M808" i="10"/>
  <c r="P808" i="10" s="1"/>
  <c r="L808" i="10"/>
  <c r="O808" i="10" s="1"/>
  <c r="M807" i="10"/>
  <c r="L807" i="10"/>
  <c r="O807" i="10" s="1"/>
  <c r="P806" i="10"/>
  <c r="N806" i="10"/>
  <c r="M806" i="10"/>
  <c r="L806" i="10"/>
  <c r="K804" i="10"/>
  <c r="J804" i="10"/>
  <c r="J803" i="10"/>
  <c r="I803" i="10"/>
  <c r="K803" i="10" s="1"/>
  <c r="J802" i="10"/>
  <c r="J801" i="10"/>
  <c r="I801" i="10"/>
  <c r="J800" i="10"/>
  <c r="P798" i="10"/>
  <c r="O798" i="10"/>
  <c r="P797" i="10"/>
  <c r="O797" i="10"/>
  <c r="P796" i="10"/>
  <c r="N796" i="10"/>
  <c r="M796" i="10"/>
  <c r="L796" i="10"/>
  <c r="O796" i="10" s="1"/>
  <c r="P791" i="10"/>
  <c r="N791" i="10"/>
  <c r="L791" i="10"/>
  <c r="L789" i="10" s="1"/>
  <c r="O789" i="10" s="1"/>
  <c r="P790" i="10"/>
  <c r="O790" i="10"/>
  <c r="P789" i="10"/>
  <c r="N789" i="10"/>
  <c r="M789" i="10"/>
  <c r="P788" i="10"/>
  <c r="N788" i="10"/>
  <c r="M788" i="10"/>
  <c r="O787" i="10"/>
  <c r="N787" i="10"/>
  <c r="M787" i="10"/>
  <c r="P787" i="10" s="1"/>
  <c r="L787" i="10"/>
  <c r="N786" i="10"/>
  <c r="M786" i="10"/>
  <c r="P786" i="10" s="1"/>
  <c r="P782" i="10"/>
  <c r="O782" i="10"/>
  <c r="P781" i="10"/>
  <c r="O781" i="10"/>
  <c r="N780" i="10"/>
  <c r="M780" i="10"/>
  <c r="P780" i="10" s="1"/>
  <c r="L780" i="10"/>
  <c r="O780" i="10" s="1"/>
  <c r="P775" i="10"/>
  <c r="O775" i="10"/>
  <c r="N775" i="10"/>
  <c r="P774" i="10"/>
  <c r="O774" i="10"/>
  <c r="P773" i="10"/>
  <c r="N773" i="10"/>
  <c r="M773" i="10"/>
  <c r="L773" i="10"/>
  <c r="O773" i="10" s="1"/>
  <c r="P772" i="10"/>
  <c r="O772" i="10"/>
  <c r="N772" i="10"/>
  <c r="M772" i="10"/>
  <c r="L772" i="10"/>
  <c r="P771" i="10"/>
  <c r="O771" i="10"/>
  <c r="N771" i="10"/>
  <c r="M771" i="10"/>
  <c r="L771" i="10"/>
  <c r="O770" i="10"/>
  <c r="N770" i="10"/>
  <c r="M770" i="10"/>
  <c r="P770" i="10" s="1"/>
  <c r="L770" i="10"/>
  <c r="K769" i="10"/>
  <c r="J769" i="10"/>
  <c r="P766" i="10"/>
  <c r="O766" i="10"/>
  <c r="P765" i="10"/>
  <c r="O765" i="10"/>
  <c r="N764" i="10"/>
  <c r="M764" i="10"/>
  <c r="P764" i="10" s="1"/>
  <c r="L764" i="10"/>
  <c r="O764" i="10" s="1"/>
  <c r="P759" i="10"/>
  <c r="O759" i="10"/>
  <c r="N759" i="10"/>
  <c r="P758" i="10"/>
  <c r="O758" i="10"/>
  <c r="P757" i="10"/>
  <c r="N757" i="10"/>
  <c r="M757" i="10"/>
  <c r="L757" i="10"/>
  <c r="O757" i="10" s="1"/>
  <c r="P756" i="10"/>
  <c r="O756" i="10"/>
  <c r="N756" i="10"/>
  <c r="M756" i="10"/>
  <c r="L756" i="10"/>
  <c r="P755" i="10"/>
  <c r="O755" i="10"/>
  <c r="N755" i="10"/>
  <c r="M755" i="10"/>
  <c r="L755" i="10"/>
  <c r="O754" i="10"/>
  <c r="N754" i="10"/>
  <c r="M754" i="10"/>
  <c r="P754" i="10" s="1"/>
  <c r="L754" i="10"/>
  <c r="K753" i="10"/>
  <c r="J753" i="10"/>
  <c r="P749" i="10"/>
  <c r="O749" i="10"/>
  <c r="P748" i="10"/>
  <c r="O748" i="10"/>
  <c r="N747" i="10"/>
  <c r="M747" i="10"/>
  <c r="P747" i="10" s="1"/>
  <c r="L747" i="10"/>
  <c r="O747" i="10" s="1"/>
  <c r="P742" i="10"/>
  <c r="O742" i="10"/>
  <c r="N742" i="10"/>
  <c r="N740" i="10" s="1"/>
  <c r="P741" i="10"/>
  <c r="O741" i="10"/>
  <c r="M740" i="10"/>
  <c r="P740" i="10" s="1"/>
  <c r="L740" i="10"/>
  <c r="O740" i="10" s="1"/>
  <c r="N739" i="10"/>
  <c r="M739" i="10"/>
  <c r="P739" i="10" s="1"/>
  <c r="L739" i="10"/>
  <c r="O739" i="10" s="1"/>
  <c r="P738" i="10"/>
  <c r="O738" i="10"/>
  <c r="N738" i="10"/>
  <c r="M738" i="10"/>
  <c r="L738" i="10"/>
  <c r="P737" i="10"/>
  <c r="O737" i="10"/>
  <c r="N737" i="10"/>
  <c r="M737" i="10"/>
  <c r="L737" i="10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N695" i="10"/>
  <c r="M695" i="10"/>
  <c r="L695" i="10"/>
  <c r="O695" i="10" s="1"/>
  <c r="P690" i="10"/>
  <c r="N690" i="10"/>
  <c r="N687" i="10" s="1"/>
  <c r="N685" i="10" s="1"/>
  <c r="L690" i="10"/>
  <c r="M688" i="10"/>
  <c r="P688" i="10" s="1"/>
  <c r="P687" i="10"/>
  <c r="M687" i="10"/>
  <c r="P686" i="10"/>
  <c r="O686" i="10"/>
  <c r="N686" i="10"/>
  <c r="M686" i="10"/>
  <c r="L686" i="10"/>
  <c r="M685" i="10"/>
  <c r="P685" i="10" s="1"/>
  <c r="J679" i="10"/>
  <c r="J678" i="10"/>
  <c r="I678" i="10"/>
  <c r="K678" i="10" s="1"/>
  <c r="J675" i="10"/>
  <c r="I671" i="10"/>
  <c r="K671" i="10" s="1"/>
  <c r="I670" i="10"/>
  <c r="K670" i="10" s="1"/>
  <c r="J669" i="10"/>
  <c r="I669" i="10"/>
  <c r="P667" i="10"/>
  <c r="O667" i="10"/>
  <c r="P666" i="10"/>
  <c r="O666" i="10"/>
  <c r="O665" i="10"/>
  <c r="N665" i="10"/>
  <c r="M665" i="10"/>
  <c r="P665" i="10" s="1"/>
  <c r="L665" i="10"/>
  <c r="P660" i="10"/>
  <c r="N660" i="10"/>
  <c r="N657" i="10" s="1"/>
  <c r="N655" i="10" s="1"/>
  <c r="L660" i="10"/>
  <c r="O660" i="10" s="1"/>
  <c r="P659" i="10"/>
  <c r="O659" i="10"/>
  <c r="M658" i="10"/>
  <c r="P658" i="10" s="1"/>
  <c r="M657" i="10"/>
  <c r="P656" i="10"/>
  <c r="N656" i="10"/>
  <c r="M656" i="10"/>
  <c r="L656" i="10"/>
  <c r="J654" i="10"/>
  <c r="K652" i="10"/>
  <c r="J652" i="10"/>
  <c r="J651" i="10"/>
  <c r="J628" i="10" s="1"/>
  <c r="I651" i="10"/>
  <c r="I628" i="10" s="1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P639" i="10"/>
  <c r="N639" i="10"/>
  <c r="M639" i="10"/>
  <c r="P634" i="10"/>
  <c r="N634" i="10"/>
  <c r="L634" i="10"/>
  <c r="P633" i="10"/>
  <c r="O633" i="10"/>
  <c r="P632" i="10"/>
  <c r="N632" i="10"/>
  <c r="M632" i="10"/>
  <c r="L632" i="10"/>
  <c r="N631" i="10"/>
  <c r="M631" i="10"/>
  <c r="P631" i="10" s="1"/>
  <c r="N630" i="10"/>
  <c r="N629" i="10" s="1"/>
  <c r="M630" i="10"/>
  <c r="P630" i="10" s="1"/>
  <c r="L630" i="10"/>
  <c r="O630" i="10" s="1"/>
  <c r="M629" i="10"/>
  <c r="P629" i="10" s="1"/>
  <c r="J621" i="10"/>
  <c r="I621" i="10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4" i="10" s="1"/>
  <c r="J595" i="10"/>
  <c r="J593" i="10" s="1"/>
  <c r="I594" i="10"/>
  <c r="K594" i="10" s="1"/>
  <c r="I593" i="10"/>
  <c r="I592" i="10" s="1"/>
  <c r="J583" i="10"/>
  <c r="J577" i="10" s="1"/>
  <c r="J582" i="10"/>
  <c r="I577" i="10"/>
  <c r="J576" i="10"/>
  <c r="J559" i="10" s="1"/>
  <c r="I576" i="10"/>
  <c r="K576" i="10" s="1"/>
  <c r="J569" i="10"/>
  <c r="I569" i="10"/>
  <c r="J568" i="10"/>
  <c r="I568" i="10"/>
  <c r="K568" i="10" s="1"/>
  <c r="J561" i="10"/>
  <c r="I561" i="10"/>
  <c r="J560" i="10"/>
  <c r="I560" i="10"/>
  <c r="K560" i="10" s="1"/>
  <c r="P557" i="10"/>
  <c r="L557" i="10"/>
  <c r="O557" i="10" s="1"/>
  <c r="P556" i="10"/>
  <c r="O556" i="10"/>
  <c r="N555" i="10"/>
  <c r="N545" i="10" s="1"/>
  <c r="N544" i="10" s="1"/>
  <c r="M555" i="10"/>
  <c r="P555" i="10" s="1"/>
  <c r="P549" i="10"/>
  <c r="N549" i="10"/>
  <c r="L549" i="10"/>
  <c r="P548" i="10"/>
  <c r="O548" i="10"/>
  <c r="N547" i="10"/>
  <c r="M547" i="10"/>
  <c r="P547" i="10" s="1"/>
  <c r="N546" i="10"/>
  <c r="M546" i="10"/>
  <c r="P546" i="10" s="1"/>
  <c r="M545" i="10"/>
  <c r="P545" i="10" s="1"/>
  <c r="L545" i="10"/>
  <c r="O545" i="10" s="1"/>
  <c r="P544" i="10"/>
  <c r="M544" i="10"/>
  <c r="J543" i="10"/>
  <c r="I542" i="10"/>
  <c r="K542" i="10" s="1"/>
  <c r="I541" i="10"/>
  <c r="K541" i="10" s="1"/>
  <c r="I540" i="10"/>
  <c r="K540" i="10" s="1"/>
  <c r="I539" i="10"/>
  <c r="K539" i="10" s="1"/>
  <c r="I538" i="10"/>
  <c r="I537" i="10"/>
  <c r="K537" i="10" s="1"/>
  <c r="P535" i="10"/>
  <c r="L535" i="10"/>
  <c r="O535" i="10" s="1"/>
  <c r="P534" i="10"/>
  <c r="O534" i="10"/>
  <c r="N533" i="10"/>
  <c r="M533" i="10"/>
  <c r="P533" i="10" s="1"/>
  <c r="P528" i="10"/>
  <c r="N528" i="10"/>
  <c r="L528" i="10"/>
  <c r="L526" i="10" s="1"/>
  <c r="O526" i="10" s="1"/>
  <c r="P527" i="10"/>
  <c r="O527" i="10"/>
  <c r="P526" i="10"/>
  <c r="N526" i="10"/>
  <c r="M526" i="10"/>
  <c r="P525" i="10"/>
  <c r="N525" i="10"/>
  <c r="M525" i="10"/>
  <c r="P524" i="10"/>
  <c r="O524" i="10"/>
  <c r="N524" i="10"/>
  <c r="M524" i="10"/>
  <c r="L524" i="10"/>
  <c r="N523" i="10"/>
  <c r="M523" i="10"/>
  <c r="P523" i="10" s="1"/>
  <c r="K517" i="10"/>
  <c r="J517" i="10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N505" i="10" s="1"/>
  <c r="P506" i="10"/>
  <c r="O506" i="10"/>
  <c r="O505" i="10"/>
  <c r="M505" i="10"/>
  <c r="P505" i="10" s="1"/>
  <c r="L505" i="10"/>
  <c r="N504" i="10"/>
  <c r="N502" i="10" s="1"/>
  <c r="M504" i="10"/>
  <c r="P504" i="10" s="1"/>
  <c r="L504" i="10"/>
  <c r="O504" i="10" s="1"/>
  <c r="O503" i="10"/>
  <c r="N503" i="10"/>
  <c r="M503" i="10"/>
  <c r="L503" i="10"/>
  <c r="L502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P477" i="10"/>
  <c r="N477" i="10"/>
  <c r="M477" i="10"/>
  <c r="P472" i="10"/>
  <c r="N472" i="10"/>
  <c r="L472" i="10"/>
  <c r="P471" i="10"/>
  <c r="O471" i="10"/>
  <c r="N470" i="10"/>
  <c r="M470" i="10"/>
  <c r="P470" i="10" s="1"/>
  <c r="N469" i="10"/>
  <c r="N467" i="10" s="1"/>
  <c r="M469" i="10"/>
  <c r="P469" i="10" s="1"/>
  <c r="N468" i="10"/>
  <c r="M468" i="10"/>
  <c r="L468" i="10"/>
  <c r="O468" i="10" s="1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K458" i="10"/>
  <c r="P456" i="10"/>
  <c r="L456" i="10"/>
  <c r="O456" i="10" s="1"/>
  <c r="P455" i="10"/>
  <c r="O455" i="10"/>
  <c r="P454" i="10"/>
  <c r="N454" i="10"/>
  <c r="M454" i="10"/>
  <c r="P449" i="10"/>
  <c r="N449" i="10"/>
  <c r="L449" i="10"/>
  <c r="O449" i="10" s="1"/>
  <c r="P448" i="10"/>
  <c r="O448" i="10"/>
  <c r="P447" i="10"/>
  <c r="N447" i="10"/>
  <c r="M447" i="10"/>
  <c r="L447" i="10"/>
  <c r="O447" i="10" s="1"/>
  <c r="N446" i="10"/>
  <c r="M446" i="10"/>
  <c r="P446" i="10" s="1"/>
  <c r="N445" i="10"/>
  <c r="N444" i="10" s="1"/>
  <c r="M445" i="10"/>
  <c r="P445" i="10" s="1"/>
  <c r="L445" i="10"/>
  <c r="O445" i="10" s="1"/>
  <c r="M444" i="10"/>
  <c r="P444" i="10" s="1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J434" i="10"/>
  <c r="P431" i="10"/>
  <c r="L431" i="10"/>
  <c r="L429" i="10" s="1"/>
  <c r="O429" i="10" s="1"/>
  <c r="P430" i="10"/>
  <c r="O430" i="10"/>
  <c r="P429" i="10"/>
  <c r="N429" i="10"/>
  <c r="M429" i="10"/>
  <c r="P424" i="10"/>
  <c r="N424" i="10"/>
  <c r="L424" i="10"/>
  <c r="L422" i="10" s="1"/>
  <c r="P423" i="10"/>
  <c r="O423" i="10"/>
  <c r="P422" i="10"/>
  <c r="N422" i="10"/>
  <c r="M422" i="10"/>
  <c r="N421" i="10"/>
  <c r="M421" i="10"/>
  <c r="P421" i="10" s="1"/>
  <c r="N420" i="10"/>
  <c r="N419" i="10" s="1"/>
  <c r="M420" i="10"/>
  <c r="P420" i="10" s="1"/>
  <c r="L420" i="10"/>
  <c r="O420" i="10" s="1"/>
  <c r="M419" i="10"/>
  <c r="J418" i="10"/>
  <c r="K413" i="10"/>
  <c r="K412" i="10"/>
  <c r="N410" i="10"/>
  <c r="M410" i="10"/>
  <c r="L410" i="10"/>
  <c r="L408" i="10" s="1"/>
  <c r="O408" i="10" s="1"/>
  <c r="P409" i="10"/>
  <c r="O409" i="10"/>
  <c r="N407" i="10"/>
  <c r="N405" i="10" s="1"/>
  <c r="M407" i="10"/>
  <c r="L407" i="10"/>
  <c r="L405" i="10" s="1"/>
  <c r="O405" i="10" s="1"/>
  <c r="P406" i="10"/>
  <c r="O406" i="10"/>
  <c r="N403" i="10"/>
  <c r="M403" i="10"/>
  <c r="P403" i="10" s="1"/>
  <c r="L403" i="10"/>
  <c r="K401" i="10"/>
  <c r="J401" i="10"/>
  <c r="I401" i="10"/>
  <c r="K400" i="10"/>
  <c r="K399" i="10"/>
  <c r="N397" i="10"/>
  <c r="N395" i="10" s="1"/>
  <c r="M397" i="10"/>
  <c r="P397" i="10" s="1"/>
  <c r="L397" i="10"/>
  <c r="O397" i="10" s="1"/>
  <c r="P396" i="10"/>
  <c r="O396" i="10"/>
  <c r="N394" i="10"/>
  <c r="N392" i="10" s="1"/>
  <c r="M394" i="10"/>
  <c r="M392" i="10" s="1"/>
  <c r="P392" i="10" s="1"/>
  <c r="L394" i="10"/>
  <c r="O394" i="10" s="1"/>
  <c r="P393" i="10"/>
  <c r="O393" i="10"/>
  <c r="N390" i="10"/>
  <c r="M390" i="10"/>
  <c r="P390" i="10" s="1"/>
  <c r="L390" i="10"/>
  <c r="O390" i="10" s="1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L351" i="10" s="1"/>
  <c r="P352" i="10"/>
  <c r="O352" i="10"/>
  <c r="N350" i="10"/>
  <c r="N348" i="10" s="1"/>
  <c r="M350" i="10"/>
  <c r="M348" i="10" s="1"/>
  <c r="L350" i="10"/>
  <c r="P349" i="10"/>
  <c r="O349" i="10"/>
  <c r="N346" i="10"/>
  <c r="M346" i="10"/>
  <c r="P346" i="10" s="1"/>
  <c r="L346" i="10"/>
  <c r="O346" i="10" s="1"/>
  <c r="J343" i="10"/>
  <c r="J342" i="10"/>
  <c r="J341" i="10"/>
  <c r="J340" i="10"/>
  <c r="I340" i="10"/>
  <c r="J338" i="10"/>
  <c r="I338" i="10"/>
  <c r="N336" i="10"/>
  <c r="N334" i="10" s="1"/>
  <c r="M336" i="10"/>
  <c r="M334" i="10" s="1"/>
  <c r="P334" i="10" s="1"/>
  <c r="L336" i="10"/>
  <c r="O336" i="10" s="1"/>
  <c r="P335" i="10"/>
  <c r="O335" i="10"/>
  <c r="N333" i="10"/>
  <c r="M333" i="10"/>
  <c r="L333" i="10"/>
  <c r="P332" i="10"/>
  <c r="O332" i="10"/>
  <c r="P329" i="10"/>
  <c r="N329" i="10"/>
  <c r="M329" i="10"/>
  <c r="L329" i="10"/>
  <c r="I327" i="10"/>
  <c r="I325" i="10"/>
  <c r="K325" i="10" s="1"/>
  <c r="N323" i="10"/>
  <c r="N321" i="10" s="1"/>
  <c r="M323" i="10"/>
  <c r="P323" i="10" s="1"/>
  <c r="L323" i="10"/>
  <c r="O323" i="10" s="1"/>
  <c r="P322" i="10"/>
  <c r="O322" i="10"/>
  <c r="N320" i="10"/>
  <c r="N318" i="10" s="1"/>
  <c r="M320" i="10"/>
  <c r="P320" i="10" s="1"/>
  <c r="L320" i="10"/>
  <c r="O320" i="10" s="1"/>
  <c r="P319" i="10"/>
  <c r="O319" i="10"/>
  <c r="P316" i="10"/>
  <c r="N316" i="10"/>
  <c r="M316" i="10"/>
  <c r="L316" i="10"/>
  <c r="O316" i="10" s="1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L306" i="10"/>
  <c r="O306" i="10" s="1"/>
  <c r="P305" i="10"/>
  <c r="O305" i="10"/>
  <c r="N303" i="10"/>
  <c r="N301" i="10" s="1"/>
  <c r="M303" i="10"/>
  <c r="L303" i="10"/>
  <c r="L301" i="10" s="1"/>
  <c r="O301" i="10" s="1"/>
  <c r="P302" i="10"/>
  <c r="O302" i="10"/>
  <c r="P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87" i="10"/>
  <c r="K287" i="10" s="1"/>
  <c r="N285" i="10"/>
  <c r="N283" i="10" s="1"/>
  <c r="M285" i="10"/>
  <c r="P285" i="10" s="1"/>
  <c r="L285" i="10"/>
  <c r="O285" i="10" s="1"/>
  <c r="P284" i="10"/>
  <c r="O284" i="10"/>
  <c r="N282" i="10"/>
  <c r="M282" i="10"/>
  <c r="L282" i="10"/>
  <c r="P281" i="10"/>
  <c r="O281" i="10"/>
  <c r="P278" i="10"/>
  <c r="N278" i="10"/>
  <c r="M278" i="10"/>
  <c r="L278" i="10"/>
  <c r="O278" i="10" s="1"/>
  <c r="J276" i="10"/>
  <c r="I271" i="10"/>
  <c r="I260" i="10" s="1"/>
  <c r="N269" i="10"/>
  <c r="N267" i="10" s="1"/>
  <c r="M269" i="10"/>
  <c r="P269" i="10" s="1"/>
  <c r="L269" i="10"/>
  <c r="O269" i="10" s="1"/>
  <c r="P268" i="10"/>
  <c r="O268" i="10"/>
  <c r="N266" i="10"/>
  <c r="N264" i="10" s="1"/>
  <c r="M266" i="10"/>
  <c r="L266" i="10"/>
  <c r="P265" i="10"/>
  <c r="O265" i="10"/>
  <c r="O262" i="10"/>
  <c r="N262" i="10"/>
  <c r="M262" i="10"/>
  <c r="L262" i="10"/>
  <c r="J260" i="10"/>
  <c r="K258" i="10"/>
  <c r="K257" i="10"/>
  <c r="I255" i="10"/>
  <c r="K255" i="10" s="1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N227" i="10" s="1"/>
  <c r="J237" i="10"/>
  <c r="K236" i="10"/>
  <c r="J236" i="10"/>
  <c r="I236" i="10"/>
  <c r="K235" i="10"/>
  <c r="J235" i="10"/>
  <c r="I235" i="10"/>
  <c r="J233" i="10"/>
  <c r="N231" i="10"/>
  <c r="N230" i="10"/>
  <c r="N229" i="10"/>
  <c r="N228" i="10"/>
  <c r="J226" i="10"/>
  <c r="I225" i="10"/>
  <c r="K225" i="10" s="1"/>
  <c r="I224" i="10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L187" i="10" s="1"/>
  <c r="O187" i="10" s="1"/>
  <c r="P188" i="10"/>
  <c r="O188" i="10"/>
  <c r="N186" i="10"/>
  <c r="M186" i="10"/>
  <c r="L186" i="10"/>
  <c r="L184" i="10" s="1"/>
  <c r="P185" i="10"/>
  <c r="O185" i="10"/>
  <c r="O182" i="10"/>
  <c r="N182" i="10"/>
  <c r="M182" i="10"/>
  <c r="L182" i="10"/>
  <c r="J180" i="10"/>
  <c r="J177" i="10"/>
  <c r="I176" i="10"/>
  <c r="J174" i="10"/>
  <c r="N173" i="10"/>
  <c r="N171" i="10" s="1"/>
  <c r="M173" i="10"/>
  <c r="P173" i="10" s="1"/>
  <c r="L173" i="10"/>
  <c r="L171" i="10" s="1"/>
  <c r="O171" i="10" s="1"/>
  <c r="P172" i="10"/>
  <c r="O172" i="10"/>
  <c r="N170" i="10"/>
  <c r="M170" i="10"/>
  <c r="M168" i="10" s="1"/>
  <c r="L170" i="10"/>
  <c r="L168" i="10" s="1"/>
  <c r="P169" i="10"/>
  <c r="O169" i="10"/>
  <c r="O166" i="10"/>
  <c r="N166" i="10"/>
  <c r="M166" i="10"/>
  <c r="L166" i="10"/>
  <c r="J164" i="10"/>
  <c r="I159" i="10"/>
  <c r="K159" i="10" s="1"/>
  <c r="N157" i="10"/>
  <c r="N155" i="10" s="1"/>
  <c r="M157" i="10"/>
  <c r="M155" i="10" s="1"/>
  <c r="P155" i="10" s="1"/>
  <c r="L157" i="10"/>
  <c r="O157" i="10" s="1"/>
  <c r="P156" i="10"/>
  <c r="O156" i="10"/>
  <c r="N154" i="10"/>
  <c r="N152" i="10" s="1"/>
  <c r="M154" i="10"/>
  <c r="L154" i="10"/>
  <c r="O154" i="10" s="1"/>
  <c r="P153" i="10"/>
  <c r="O153" i="10"/>
  <c r="O150" i="10"/>
  <c r="N150" i="10"/>
  <c r="M150" i="10"/>
  <c r="L150" i="10"/>
  <c r="J148" i="10"/>
  <c r="I146" i="10"/>
  <c r="I130" i="10" s="1"/>
  <c r="K130" i="10" s="1"/>
  <c r="I145" i="10"/>
  <c r="I144" i="10"/>
  <c r="K144" i="10" s="1"/>
  <c r="N140" i="10"/>
  <c r="N138" i="10" s="1"/>
  <c r="M140" i="10"/>
  <c r="L140" i="10"/>
  <c r="O140" i="10" s="1"/>
  <c r="P139" i="10"/>
  <c r="O139" i="10"/>
  <c r="N137" i="10"/>
  <c r="N135" i="10" s="1"/>
  <c r="M137" i="10"/>
  <c r="L137" i="10"/>
  <c r="P136" i="10"/>
  <c r="O136" i="10"/>
  <c r="P133" i="10"/>
  <c r="N133" i="10"/>
  <c r="M133" i="10"/>
  <c r="L133" i="10"/>
  <c r="J130" i="10"/>
  <c r="N127" i="10"/>
  <c r="N125" i="10" s="1"/>
  <c r="M127" i="10"/>
  <c r="M125" i="10" s="1"/>
  <c r="P125" i="10" s="1"/>
  <c r="L127" i="10"/>
  <c r="O127" i="10" s="1"/>
  <c r="P126" i="10"/>
  <c r="O126" i="10"/>
  <c r="N124" i="10"/>
  <c r="N122" i="10" s="1"/>
  <c r="M124" i="10"/>
  <c r="M122" i="10" s="1"/>
  <c r="P122" i="10" s="1"/>
  <c r="L124" i="10"/>
  <c r="O124" i="10" s="1"/>
  <c r="P123" i="10"/>
  <c r="O123" i="10"/>
  <c r="O120" i="10"/>
  <c r="N120" i="10"/>
  <c r="M120" i="10"/>
  <c r="L120" i="10"/>
  <c r="I116" i="10"/>
  <c r="K116" i="10" s="1"/>
  <c r="I115" i="10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J98" i="10"/>
  <c r="J86" i="10" s="1"/>
  <c r="I98" i="10"/>
  <c r="K98" i="10" s="1"/>
  <c r="N96" i="10"/>
  <c r="M96" i="10"/>
  <c r="P96" i="10" s="1"/>
  <c r="L96" i="10"/>
  <c r="L94" i="10" s="1"/>
  <c r="O94" i="10" s="1"/>
  <c r="P95" i="10"/>
  <c r="O95" i="10"/>
  <c r="N93" i="10"/>
  <c r="M93" i="10"/>
  <c r="M91" i="10" s="1"/>
  <c r="L93" i="10"/>
  <c r="L91" i="10" s="1"/>
  <c r="P92" i="10"/>
  <c r="O92" i="10"/>
  <c r="O89" i="10"/>
  <c r="N89" i="10"/>
  <c r="M89" i="10"/>
  <c r="L89" i="10"/>
  <c r="J87" i="10"/>
  <c r="I84" i="10"/>
  <c r="K84" i="10" s="1"/>
  <c r="I83" i="10"/>
  <c r="K83" i="10" s="1"/>
  <c r="I82" i="10"/>
  <c r="I81" i="10"/>
  <c r="K81" i="10" s="1"/>
  <c r="I80" i="10"/>
  <c r="K80" i="10" s="1"/>
  <c r="I79" i="10"/>
  <c r="I78" i="10"/>
  <c r="K78" i="10" s="1"/>
  <c r="J77" i="10"/>
  <c r="J65" i="10" s="1"/>
  <c r="J76" i="10"/>
  <c r="N74" i="10"/>
  <c r="N72" i="10" s="1"/>
  <c r="M74" i="10"/>
  <c r="L74" i="10"/>
  <c r="O74" i="10" s="1"/>
  <c r="P73" i="10"/>
  <c r="O73" i="10"/>
  <c r="N71" i="10"/>
  <c r="M71" i="10"/>
  <c r="L71" i="10"/>
  <c r="L69" i="10" s="1"/>
  <c r="P70" i="10"/>
  <c r="O70" i="10"/>
  <c r="P67" i="10"/>
  <c r="N67" i="10"/>
  <c r="M67" i="10"/>
  <c r="L67" i="10"/>
  <c r="J64" i="10"/>
  <c r="N61" i="10"/>
  <c r="N59" i="10" s="1"/>
  <c r="M61" i="10"/>
  <c r="M59" i="10" s="1"/>
  <c r="L61" i="10"/>
  <c r="P60" i="10"/>
  <c r="O60" i="10"/>
  <c r="N58" i="10"/>
  <c r="N56" i="10" s="1"/>
  <c r="M58" i="10"/>
  <c r="L58" i="10"/>
  <c r="P57" i="10"/>
  <c r="O57" i="10"/>
  <c r="O54" i="10"/>
  <c r="N54" i="10"/>
  <c r="M54" i="10"/>
  <c r="L54" i="10"/>
  <c r="N49" i="10"/>
  <c r="N47" i="10" s="1"/>
  <c r="M49" i="10"/>
  <c r="L49" i="10"/>
  <c r="O49" i="10" s="1"/>
  <c r="P48" i="10"/>
  <c r="O48" i="10"/>
  <c r="N46" i="10"/>
  <c r="M46" i="10"/>
  <c r="L46" i="10"/>
  <c r="L44" i="10" s="1"/>
  <c r="P45" i="10"/>
  <c r="O45" i="10"/>
  <c r="P42" i="10"/>
  <c r="N42" i="10"/>
  <c r="M42" i="10"/>
  <c r="L42" i="10"/>
  <c r="N36" i="10"/>
  <c r="M36" i="10"/>
  <c r="P36" i="10" s="1"/>
  <c r="P35" i="10"/>
  <c r="N35" i="10"/>
  <c r="N34" i="10" s="1"/>
  <c r="M35" i="10"/>
  <c r="L35" i="10"/>
  <c r="M34" i="10"/>
  <c r="P34" i="10" s="1"/>
  <c r="P33" i="10"/>
  <c r="N33" i="10"/>
  <c r="N30" i="10" s="1"/>
  <c r="M33" i="10"/>
  <c r="O32" i="10"/>
  <c r="N32" i="10"/>
  <c r="M32" i="10"/>
  <c r="P32" i="10" s="1"/>
  <c r="L32" i="10"/>
  <c r="N31" i="10"/>
  <c r="M30" i="10"/>
  <c r="P30" i="10" s="1"/>
  <c r="L29" i="10"/>
  <c r="O25" i="10"/>
  <c r="N25" i="10"/>
  <c r="M25" i="10"/>
  <c r="P25" i="10" s="1"/>
  <c r="L25" i="10"/>
  <c r="P22" i="10"/>
  <c r="N22" i="10"/>
  <c r="M22" i="10"/>
  <c r="L22" i="10"/>
  <c r="M19" i="10"/>
  <c r="P19" i="10" s="1"/>
  <c r="P15" i="10"/>
  <c r="N15" i="10"/>
  <c r="M15" i="10"/>
  <c r="L15" i="10"/>
  <c r="N12" i="10"/>
  <c r="N9" i="10" s="1"/>
  <c r="M12" i="10"/>
  <c r="P12" i="10" s="1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N805" i="9" s="1"/>
  <c r="P809" i="9"/>
  <c r="O809" i="9"/>
  <c r="P808" i="9"/>
  <c r="O808" i="9"/>
  <c r="N808" i="9"/>
  <c r="M808" i="9"/>
  <c r="L808" i="9"/>
  <c r="O807" i="9"/>
  <c r="M807" i="9"/>
  <c r="L807" i="9"/>
  <c r="N806" i="9"/>
  <c r="M806" i="9"/>
  <c r="P806" i="9" s="1"/>
  <c r="L806" i="9"/>
  <c r="K804" i="9"/>
  <c r="J804" i="9"/>
  <c r="J803" i="9"/>
  <c r="I803" i="9"/>
  <c r="K803" i="9" s="1"/>
  <c r="J802" i="9"/>
  <c r="J801" i="9"/>
  <c r="I801" i="9"/>
  <c r="J800" i="9"/>
  <c r="P798" i="9"/>
  <c r="O798" i="9"/>
  <c r="P797" i="9"/>
  <c r="O797" i="9"/>
  <c r="N796" i="9"/>
  <c r="M796" i="9"/>
  <c r="P796" i="9" s="1"/>
  <c r="L796" i="9"/>
  <c r="O796" i="9" s="1"/>
  <c r="P791" i="9"/>
  <c r="N791" i="9"/>
  <c r="N788" i="9" s="1"/>
  <c r="L791" i="9"/>
  <c r="O791" i="9" s="1"/>
  <c r="P790" i="9"/>
  <c r="O790" i="9"/>
  <c r="N789" i="9"/>
  <c r="M789" i="9"/>
  <c r="P789" i="9" s="1"/>
  <c r="P788" i="9"/>
  <c r="M788" i="9"/>
  <c r="M786" i="9" s="1"/>
  <c r="P786" i="9" s="1"/>
  <c r="P787" i="9"/>
  <c r="O787" i="9"/>
  <c r="N787" i="9"/>
  <c r="M787" i="9"/>
  <c r="L787" i="9"/>
  <c r="N786" i="9"/>
  <c r="P782" i="9"/>
  <c r="O782" i="9"/>
  <c r="P781" i="9"/>
  <c r="O781" i="9"/>
  <c r="P780" i="9"/>
  <c r="O780" i="9"/>
  <c r="N780" i="9"/>
  <c r="M780" i="9"/>
  <c r="L780" i="9"/>
  <c r="P775" i="9"/>
  <c r="O775" i="9"/>
  <c r="N775" i="9"/>
  <c r="P774" i="9"/>
  <c r="O774" i="9"/>
  <c r="N773" i="9"/>
  <c r="M773" i="9"/>
  <c r="P773" i="9" s="1"/>
  <c r="L773" i="9"/>
  <c r="O773" i="9" s="1"/>
  <c r="N772" i="9"/>
  <c r="N770" i="9" s="1"/>
  <c r="M772" i="9"/>
  <c r="P772" i="9" s="1"/>
  <c r="L772" i="9"/>
  <c r="O772" i="9" s="1"/>
  <c r="P771" i="9"/>
  <c r="N771" i="9"/>
  <c r="M771" i="9"/>
  <c r="M770" i="9" s="1"/>
  <c r="P770" i="9" s="1"/>
  <c r="L771" i="9"/>
  <c r="O771" i="9" s="1"/>
  <c r="K769" i="9"/>
  <c r="J769" i="9"/>
  <c r="P766" i="9"/>
  <c r="O766" i="9"/>
  <c r="P765" i="9"/>
  <c r="O765" i="9"/>
  <c r="P764" i="9"/>
  <c r="O764" i="9"/>
  <c r="N764" i="9"/>
  <c r="M764" i="9"/>
  <c r="L764" i="9"/>
  <c r="P759" i="9"/>
  <c r="O759" i="9"/>
  <c r="N759" i="9"/>
  <c r="P758" i="9"/>
  <c r="O758" i="9"/>
  <c r="N757" i="9"/>
  <c r="M757" i="9"/>
  <c r="P757" i="9" s="1"/>
  <c r="L757" i="9"/>
  <c r="O757" i="9" s="1"/>
  <c r="N756" i="9"/>
  <c r="N754" i="9" s="1"/>
  <c r="M756" i="9"/>
  <c r="P756" i="9" s="1"/>
  <c r="L756" i="9"/>
  <c r="O756" i="9" s="1"/>
  <c r="P755" i="9"/>
  <c r="N755" i="9"/>
  <c r="M755" i="9"/>
  <c r="M754" i="9" s="1"/>
  <c r="P754" i="9" s="1"/>
  <c r="L755" i="9"/>
  <c r="O755" i="9" s="1"/>
  <c r="K753" i="9"/>
  <c r="J753" i="9"/>
  <c r="P749" i="9"/>
  <c r="O749" i="9"/>
  <c r="P748" i="9"/>
  <c r="O748" i="9"/>
  <c r="P747" i="9"/>
  <c r="O747" i="9"/>
  <c r="N747" i="9"/>
  <c r="M747" i="9"/>
  <c r="L747" i="9"/>
  <c r="P742" i="9"/>
  <c r="O742" i="9"/>
  <c r="N742" i="9"/>
  <c r="P741" i="9"/>
  <c r="O741" i="9"/>
  <c r="N740" i="9"/>
  <c r="M740" i="9"/>
  <c r="P740" i="9" s="1"/>
  <c r="L740" i="9"/>
  <c r="O740" i="9" s="1"/>
  <c r="N739" i="9"/>
  <c r="N737" i="9" s="1"/>
  <c r="M739" i="9"/>
  <c r="P739" i="9" s="1"/>
  <c r="L739" i="9"/>
  <c r="O739" i="9" s="1"/>
  <c r="P738" i="9"/>
  <c r="N738" i="9"/>
  <c r="M738" i="9"/>
  <c r="M737" i="9" s="1"/>
  <c r="P737" i="9" s="1"/>
  <c r="L738" i="9"/>
  <c r="O738" i="9" s="1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J700" i="9"/>
  <c r="I700" i="9"/>
  <c r="K700" i="9" s="1"/>
  <c r="J699" i="9"/>
  <c r="I699" i="9"/>
  <c r="P697" i="9"/>
  <c r="O697" i="9"/>
  <c r="P696" i="9"/>
  <c r="O696" i="9"/>
  <c r="P695" i="9"/>
  <c r="O695" i="9"/>
  <c r="N695" i="9"/>
  <c r="M695" i="9"/>
  <c r="L695" i="9"/>
  <c r="P690" i="9"/>
  <c r="N690" i="9"/>
  <c r="N687" i="9" s="1"/>
  <c r="N685" i="9" s="1"/>
  <c r="L690" i="9"/>
  <c r="N688" i="9"/>
  <c r="M688" i="9"/>
  <c r="P688" i="9" s="1"/>
  <c r="P687" i="9"/>
  <c r="M687" i="9"/>
  <c r="M685" i="9" s="1"/>
  <c r="P685" i="9" s="1"/>
  <c r="P686" i="9"/>
  <c r="O686" i="9"/>
  <c r="N686" i="9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I669" i="9"/>
  <c r="P667" i="9"/>
  <c r="O667" i="9"/>
  <c r="P666" i="9"/>
  <c r="O666" i="9"/>
  <c r="P665" i="9"/>
  <c r="O665" i="9"/>
  <c r="N665" i="9"/>
  <c r="M665" i="9"/>
  <c r="L665" i="9"/>
  <c r="P660" i="9"/>
  <c r="N660" i="9"/>
  <c r="L660" i="9"/>
  <c r="L658" i="9" s="1"/>
  <c r="P659" i="9"/>
  <c r="O659" i="9"/>
  <c r="P658" i="9"/>
  <c r="M658" i="9"/>
  <c r="M657" i="9"/>
  <c r="N656" i="9"/>
  <c r="M656" i="9"/>
  <c r="P656" i="9" s="1"/>
  <c r="L656" i="9"/>
  <c r="J654" i="9"/>
  <c r="K652" i="9"/>
  <c r="J652" i="9"/>
  <c r="J651" i="9"/>
  <c r="J628" i="9" s="1"/>
  <c r="I651" i="9"/>
  <c r="I628" i="9" s="1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N639" i="9"/>
  <c r="M639" i="9"/>
  <c r="P639" i="9" s="1"/>
  <c r="P634" i="9"/>
  <c r="N634" i="9"/>
  <c r="L634" i="9"/>
  <c r="L632" i="9" s="1"/>
  <c r="O632" i="9" s="1"/>
  <c r="P633" i="9"/>
  <c r="O633" i="9"/>
  <c r="P632" i="9"/>
  <c r="N632" i="9"/>
  <c r="M632" i="9"/>
  <c r="P631" i="9"/>
  <c r="N631" i="9"/>
  <c r="M631" i="9"/>
  <c r="P630" i="9"/>
  <c r="O630" i="9"/>
  <c r="N630" i="9"/>
  <c r="N629" i="9" s="1"/>
  <c r="M630" i="9"/>
  <c r="L630" i="9"/>
  <c r="M629" i="9"/>
  <c r="P629" i="9" s="1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3" i="9" s="1"/>
  <c r="J596" i="9"/>
  <c r="J595" i="9"/>
  <c r="J594" i="9"/>
  <c r="I594" i="9"/>
  <c r="I593" i="9"/>
  <c r="I592" i="9" s="1"/>
  <c r="J583" i="9"/>
  <c r="J577" i="9" s="1"/>
  <c r="J582" i="9"/>
  <c r="I577" i="9"/>
  <c r="J576" i="9"/>
  <c r="J559" i="9" s="1"/>
  <c r="I576" i="9"/>
  <c r="K576" i="9" s="1"/>
  <c r="J569" i="9"/>
  <c r="I569" i="9"/>
  <c r="K569" i="9" s="1"/>
  <c r="J568" i="9"/>
  <c r="I568" i="9"/>
  <c r="J561" i="9"/>
  <c r="I561" i="9"/>
  <c r="K561" i="9" s="1"/>
  <c r="J560" i="9"/>
  <c r="I560" i="9"/>
  <c r="K560" i="9" s="1"/>
  <c r="P557" i="9"/>
  <c r="L557" i="9"/>
  <c r="L555" i="9" s="1"/>
  <c r="O555" i="9" s="1"/>
  <c r="P556" i="9"/>
  <c r="O556" i="9"/>
  <c r="P555" i="9"/>
  <c r="N555" i="9"/>
  <c r="N545" i="9" s="1"/>
  <c r="N544" i="9" s="1"/>
  <c r="M555" i="9"/>
  <c r="P549" i="9"/>
  <c r="N549" i="9"/>
  <c r="L549" i="9"/>
  <c r="P548" i="9"/>
  <c r="O548" i="9"/>
  <c r="N547" i="9"/>
  <c r="M547" i="9"/>
  <c r="P547" i="9" s="1"/>
  <c r="N546" i="9"/>
  <c r="M546" i="9"/>
  <c r="P546" i="9" s="1"/>
  <c r="M545" i="9"/>
  <c r="P545" i="9" s="1"/>
  <c r="L545" i="9"/>
  <c r="O545" i="9" s="1"/>
  <c r="P544" i="9"/>
  <c r="M544" i="9"/>
  <c r="J543" i="9"/>
  <c r="I542" i="9"/>
  <c r="K542" i="9" s="1"/>
  <c r="I541" i="9"/>
  <c r="K541" i="9" s="1"/>
  <c r="I540" i="9"/>
  <c r="K540" i="9" s="1"/>
  <c r="I539" i="9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N525" i="9" s="1"/>
  <c r="L528" i="9"/>
  <c r="O528" i="9" s="1"/>
  <c r="P527" i="9"/>
  <c r="O527" i="9"/>
  <c r="N526" i="9"/>
  <c r="M526" i="9"/>
  <c r="P526" i="9" s="1"/>
  <c r="P525" i="9"/>
  <c r="M525" i="9"/>
  <c r="M523" i="9" s="1"/>
  <c r="P523" i="9" s="1"/>
  <c r="O524" i="9"/>
  <c r="N524" i="9"/>
  <c r="M524" i="9"/>
  <c r="P524" i="9" s="1"/>
  <c r="L524" i="9"/>
  <c r="N523" i="9"/>
  <c r="K517" i="9"/>
  <c r="J517" i="9"/>
  <c r="J501" i="9" s="1"/>
  <c r="K516" i="9"/>
  <c r="P514" i="9"/>
  <c r="O514" i="9"/>
  <c r="P513" i="9"/>
  <c r="O513" i="9"/>
  <c r="O512" i="9"/>
  <c r="N512" i="9"/>
  <c r="M512" i="9"/>
  <c r="P512" i="9" s="1"/>
  <c r="L512" i="9"/>
  <c r="P507" i="9"/>
  <c r="O507" i="9"/>
  <c r="N507" i="9"/>
  <c r="P506" i="9"/>
  <c r="O506" i="9"/>
  <c r="O505" i="9"/>
  <c r="N505" i="9"/>
  <c r="M505" i="9"/>
  <c r="P505" i="9" s="1"/>
  <c r="L505" i="9"/>
  <c r="P504" i="9"/>
  <c r="N504" i="9"/>
  <c r="N502" i="9" s="1"/>
  <c r="M504" i="9"/>
  <c r="L504" i="9"/>
  <c r="O504" i="9" s="1"/>
  <c r="O503" i="9"/>
  <c r="N503" i="9"/>
  <c r="M503" i="9"/>
  <c r="L503" i="9"/>
  <c r="L502" i="9"/>
  <c r="O502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P477" i="9"/>
  <c r="N477" i="9"/>
  <c r="M477" i="9"/>
  <c r="P472" i="9"/>
  <c r="N472" i="9"/>
  <c r="L472" i="9"/>
  <c r="O472" i="9" s="1"/>
  <c r="P471" i="9"/>
  <c r="O471" i="9"/>
  <c r="N470" i="9"/>
  <c r="M470" i="9"/>
  <c r="P470" i="9" s="1"/>
  <c r="P469" i="9"/>
  <c r="N469" i="9"/>
  <c r="N467" i="9" s="1"/>
  <c r="M469" i="9"/>
  <c r="O468" i="9"/>
  <c r="N468" i="9"/>
  <c r="M468" i="9"/>
  <c r="L468" i="9"/>
  <c r="J466" i="9"/>
  <c r="I466" i="9"/>
  <c r="K466" i="9" s="1"/>
  <c r="J465" i="9"/>
  <c r="I465" i="9"/>
  <c r="K465" i="9" s="1"/>
  <c r="I464" i="9"/>
  <c r="I463" i="9"/>
  <c r="I462" i="9"/>
  <c r="K462" i="9" s="1"/>
  <c r="I460" i="9"/>
  <c r="K458" i="9"/>
  <c r="P456" i="9"/>
  <c r="L456" i="9"/>
  <c r="L454" i="9" s="1"/>
  <c r="O454" i="9" s="1"/>
  <c r="P455" i="9"/>
  <c r="O455" i="9"/>
  <c r="N454" i="9"/>
  <c r="M454" i="9"/>
  <c r="P454" i="9" s="1"/>
  <c r="P449" i="9"/>
  <c r="N449" i="9"/>
  <c r="L449" i="9"/>
  <c r="P448" i="9"/>
  <c r="O448" i="9"/>
  <c r="P447" i="9"/>
  <c r="N447" i="9"/>
  <c r="M447" i="9"/>
  <c r="N446" i="9"/>
  <c r="M446" i="9"/>
  <c r="P446" i="9" s="1"/>
  <c r="P445" i="9"/>
  <c r="N445" i="9"/>
  <c r="N444" i="9" s="1"/>
  <c r="M445" i="9"/>
  <c r="L445" i="9"/>
  <c r="O445" i="9" s="1"/>
  <c r="M444" i="9"/>
  <c r="P444" i="9" s="1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K435" i="9" s="1"/>
  <c r="J434" i="9"/>
  <c r="P431" i="9"/>
  <c r="L431" i="9"/>
  <c r="P430" i="9"/>
  <c r="O430" i="9"/>
  <c r="N429" i="9"/>
  <c r="M429" i="9"/>
  <c r="P429" i="9" s="1"/>
  <c r="P424" i="9"/>
  <c r="N424" i="9"/>
  <c r="L424" i="9"/>
  <c r="L422" i="9" s="1"/>
  <c r="O422" i="9" s="1"/>
  <c r="P423" i="9"/>
  <c r="O423" i="9"/>
  <c r="P422" i="9"/>
  <c r="N422" i="9"/>
  <c r="M422" i="9"/>
  <c r="N421" i="9"/>
  <c r="M421" i="9"/>
  <c r="P421" i="9" s="1"/>
  <c r="P420" i="9"/>
  <c r="N420" i="9"/>
  <c r="N419" i="9" s="1"/>
  <c r="M420" i="9"/>
  <c r="L420" i="9"/>
  <c r="O420" i="9" s="1"/>
  <c r="P419" i="9"/>
  <c r="M419" i="9"/>
  <c r="J418" i="9"/>
  <c r="K413" i="9"/>
  <c r="K412" i="9"/>
  <c r="N410" i="9"/>
  <c r="N408" i="9" s="1"/>
  <c r="M410" i="9"/>
  <c r="M408" i="9" s="1"/>
  <c r="P408" i="9" s="1"/>
  <c r="L410" i="9"/>
  <c r="L408" i="9" s="1"/>
  <c r="O408" i="9" s="1"/>
  <c r="P409" i="9"/>
  <c r="O409" i="9"/>
  <c r="N407" i="9"/>
  <c r="N405" i="9" s="1"/>
  <c r="M407" i="9"/>
  <c r="M405" i="9" s="1"/>
  <c r="P405" i="9" s="1"/>
  <c r="L407" i="9"/>
  <c r="P406" i="9"/>
  <c r="O406" i="9"/>
  <c r="P403" i="9"/>
  <c r="O403" i="9"/>
  <c r="N403" i="9"/>
  <c r="M403" i="9"/>
  <c r="L403" i="9"/>
  <c r="K401" i="9"/>
  <c r="J401" i="9"/>
  <c r="I401" i="9"/>
  <c r="K400" i="9"/>
  <c r="K399" i="9"/>
  <c r="N397" i="9"/>
  <c r="N395" i="9" s="1"/>
  <c r="M397" i="9"/>
  <c r="P397" i="9" s="1"/>
  <c r="L397" i="9"/>
  <c r="O397" i="9" s="1"/>
  <c r="P396" i="9"/>
  <c r="O396" i="9"/>
  <c r="N394" i="9"/>
  <c r="N392" i="9" s="1"/>
  <c r="M394" i="9"/>
  <c r="P394" i="9" s="1"/>
  <c r="L394" i="9"/>
  <c r="O394" i="9" s="1"/>
  <c r="P393" i="9"/>
  <c r="O393" i="9"/>
  <c r="N390" i="9"/>
  <c r="M390" i="9"/>
  <c r="P390" i="9" s="1"/>
  <c r="L390" i="9"/>
  <c r="O390" i="9" s="1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M351" i="9" s="1"/>
  <c r="L353" i="9"/>
  <c r="L351" i="9" s="1"/>
  <c r="P352" i="9"/>
  <c r="O352" i="9"/>
  <c r="N350" i="9"/>
  <c r="N348" i="9" s="1"/>
  <c r="M350" i="9"/>
  <c r="M348" i="9" s="1"/>
  <c r="L350" i="9"/>
  <c r="P349" i="9"/>
  <c r="O349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L334" i="9" s="1"/>
  <c r="O334" i="9" s="1"/>
  <c r="P335" i="9"/>
  <c r="O335" i="9"/>
  <c r="N333" i="9"/>
  <c r="M333" i="9"/>
  <c r="M331" i="9" s="1"/>
  <c r="L333" i="9"/>
  <c r="L331" i="9" s="1"/>
  <c r="P332" i="9"/>
  <c r="O332" i="9"/>
  <c r="N329" i="9"/>
  <c r="M329" i="9"/>
  <c r="P329" i="9" s="1"/>
  <c r="L329" i="9"/>
  <c r="O329" i="9" s="1"/>
  <c r="I327" i="9"/>
  <c r="I325" i="9"/>
  <c r="N323" i="9"/>
  <c r="N321" i="9" s="1"/>
  <c r="M323" i="9"/>
  <c r="M321" i="9" s="1"/>
  <c r="P321" i="9" s="1"/>
  <c r="L323" i="9"/>
  <c r="O323" i="9" s="1"/>
  <c r="P322" i="9"/>
  <c r="O322" i="9"/>
  <c r="N320" i="9"/>
  <c r="N318" i="9" s="1"/>
  <c r="M320" i="9"/>
  <c r="M318" i="9" s="1"/>
  <c r="P318" i="9" s="1"/>
  <c r="L320" i="9"/>
  <c r="P319" i="9"/>
  <c r="O319" i="9"/>
  <c r="P316" i="9"/>
  <c r="O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P306" i="9" s="1"/>
  <c r="L306" i="9"/>
  <c r="L304" i="9" s="1"/>
  <c r="O304" i="9" s="1"/>
  <c r="P305" i="9"/>
  <c r="O305" i="9"/>
  <c r="N303" i="9"/>
  <c r="N301" i="9" s="1"/>
  <c r="M303" i="9"/>
  <c r="P303" i="9" s="1"/>
  <c r="L303" i="9"/>
  <c r="O303" i="9" s="1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75" i="9" s="1"/>
  <c r="I287" i="9"/>
  <c r="N285" i="9"/>
  <c r="N283" i="9" s="1"/>
  <c r="M285" i="9"/>
  <c r="L285" i="9"/>
  <c r="O285" i="9" s="1"/>
  <c r="P284" i="9"/>
  <c r="O284" i="9"/>
  <c r="N282" i="9"/>
  <c r="N280" i="9" s="1"/>
  <c r="M282" i="9"/>
  <c r="M280" i="9" s="1"/>
  <c r="L282" i="9"/>
  <c r="L280" i="9" s="1"/>
  <c r="P281" i="9"/>
  <c r="O281" i="9"/>
  <c r="O278" i="9"/>
  <c r="N278" i="9"/>
  <c r="M278" i="9"/>
  <c r="L278" i="9"/>
  <c r="J276" i="9"/>
  <c r="I271" i="9"/>
  <c r="K271" i="9" s="1"/>
  <c r="N269" i="9"/>
  <c r="N267" i="9" s="1"/>
  <c r="M269" i="9"/>
  <c r="P269" i="9" s="1"/>
  <c r="L269" i="9"/>
  <c r="L267" i="9" s="1"/>
  <c r="O267" i="9" s="1"/>
  <c r="P268" i="9"/>
  <c r="O268" i="9"/>
  <c r="N266" i="9"/>
  <c r="N264" i="9" s="1"/>
  <c r="M266" i="9"/>
  <c r="M264" i="9" s="1"/>
  <c r="L266" i="9"/>
  <c r="P265" i="9"/>
  <c r="O265" i="9"/>
  <c r="N262" i="9"/>
  <c r="M262" i="9"/>
  <c r="P262" i="9" s="1"/>
  <c r="L262" i="9"/>
  <c r="J260" i="9"/>
  <c r="K258" i="9"/>
  <c r="K257" i="9"/>
  <c r="I255" i="9"/>
  <c r="L253" i="9"/>
  <c r="L252" i="9"/>
  <c r="L251" i="9"/>
  <c r="L250" i="9"/>
  <c r="P249" i="9"/>
  <c r="N249" i="9"/>
  <c r="J248" i="9"/>
  <c r="K247" i="9"/>
  <c r="K246" i="9"/>
  <c r="I244" i="9"/>
  <c r="I237" i="9" s="1"/>
  <c r="K237" i="9" s="1"/>
  <c r="L242" i="9"/>
  <c r="L241" i="9"/>
  <c r="L240" i="9"/>
  <c r="L239" i="9"/>
  <c r="P238" i="9"/>
  <c r="N238" i="9"/>
  <c r="J237" i="9"/>
  <c r="J226" i="9" s="1"/>
  <c r="J180" i="9" s="1"/>
  <c r="J236" i="9"/>
  <c r="I236" i="9"/>
  <c r="K236" i="9" s="1"/>
  <c r="K235" i="9"/>
  <c r="J235" i="9"/>
  <c r="I235" i="9"/>
  <c r="J233" i="9"/>
  <c r="N231" i="9"/>
  <c r="N230" i="9"/>
  <c r="N229" i="9"/>
  <c r="N228" i="9"/>
  <c r="I225" i="9"/>
  <c r="K225" i="9" s="1"/>
  <c r="I224" i="9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L202" i="9"/>
  <c r="L201" i="9"/>
  <c r="L200" i="9"/>
  <c r="L199" i="9"/>
  <c r="P198" i="9"/>
  <c r="N198" i="9"/>
  <c r="J197" i="9"/>
  <c r="J194" i="9"/>
  <c r="I193" i="9"/>
  <c r="P191" i="9"/>
  <c r="L191" i="9"/>
  <c r="O191" i="9" s="1"/>
  <c r="J190" i="9"/>
  <c r="N189" i="9"/>
  <c r="N187" i="9" s="1"/>
  <c r="M189" i="9"/>
  <c r="M187" i="9" s="1"/>
  <c r="P187" i="9" s="1"/>
  <c r="L189" i="9"/>
  <c r="O189" i="9" s="1"/>
  <c r="P188" i="9"/>
  <c r="O188" i="9"/>
  <c r="N186" i="9"/>
  <c r="N184" i="9" s="1"/>
  <c r="M186" i="9"/>
  <c r="M184" i="9" s="1"/>
  <c r="L186" i="9"/>
  <c r="L184" i="9" s="1"/>
  <c r="P185" i="9"/>
  <c r="O185" i="9"/>
  <c r="P182" i="9"/>
  <c r="N182" i="9"/>
  <c r="M182" i="9"/>
  <c r="L182" i="9"/>
  <c r="J177" i="9"/>
  <c r="I176" i="9"/>
  <c r="I174" i="9" s="1"/>
  <c r="J174" i="9"/>
  <c r="N173" i="9"/>
  <c r="N171" i="9" s="1"/>
  <c r="M173" i="9"/>
  <c r="L173" i="9"/>
  <c r="P172" i="9"/>
  <c r="O172" i="9"/>
  <c r="N170" i="9"/>
  <c r="M170" i="9"/>
  <c r="M168" i="9" s="1"/>
  <c r="L170" i="9"/>
  <c r="L168" i="9" s="1"/>
  <c r="P169" i="9"/>
  <c r="O169" i="9"/>
  <c r="P166" i="9"/>
  <c r="O166" i="9"/>
  <c r="N166" i="9"/>
  <c r="M166" i="9"/>
  <c r="L166" i="9"/>
  <c r="J164" i="9"/>
  <c r="I159" i="9"/>
  <c r="I148" i="9" s="1"/>
  <c r="K148" i="9" s="1"/>
  <c r="N157" i="9"/>
  <c r="N155" i="9" s="1"/>
  <c r="M157" i="9"/>
  <c r="P157" i="9" s="1"/>
  <c r="L157" i="9"/>
  <c r="L155" i="9" s="1"/>
  <c r="O155" i="9" s="1"/>
  <c r="P156" i="9"/>
  <c r="O156" i="9"/>
  <c r="N154" i="9"/>
  <c r="M154" i="9"/>
  <c r="M152" i="9" s="1"/>
  <c r="L154" i="9"/>
  <c r="O154" i="9" s="1"/>
  <c r="P153" i="9"/>
  <c r="O153" i="9"/>
  <c r="N150" i="9"/>
  <c r="M150" i="9"/>
  <c r="P150" i="9" s="1"/>
  <c r="L150" i="9"/>
  <c r="O150" i="9" s="1"/>
  <c r="J148" i="9"/>
  <c r="I146" i="9"/>
  <c r="I145" i="9"/>
  <c r="I144" i="9"/>
  <c r="K144" i="9" s="1"/>
  <c r="N140" i="9"/>
  <c r="N138" i="9" s="1"/>
  <c r="M140" i="9"/>
  <c r="L140" i="9"/>
  <c r="O140" i="9" s="1"/>
  <c r="P139" i="9"/>
  <c r="O139" i="9"/>
  <c r="N137" i="9"/>
  <c r="N135" i="9" s="1"/>
  <c r="M137" i="9"/>
  <c r="P137" i="9" s="1"/>
  <c r="L137" i="9"/>
  <c r="L135" i="9" s="1"/>
  <c r="O135" i="9" s="1"/>
  <c r="P136" i="9"/>
  <c r="O136" i="9"/>
  <c r="P133" i="9"/>
  <c r="O133" i="9"/>
  <c r="N133" i="9"/>
  <c r="M133" i="9"/>
  <c r="L133" i="9"/>
  <c r="J130" i="9"/>
  <c r="N127" i="9"/>
  <c r="M127" i="9"/>
  <c r="P127" i="9" s="1"/>
  <c r="L127" i="9"/>
  <c r="P126" i="9"/>
  <c r="O126" i="9"/>
  <c r="N124" i="9"/>
  <c r="N122" i="9" s="1"/>
  <c r="M124" i="9"/>
  <c r="P124" i="9" s="1"/>
  <c r="L124" i="9"/>
  <c r="L122" i="9" s="1"/>
  <c r="O122" i="9" s="1"/>
  <c r="P123" i="9"/>
  <c r="O123" i="9"/>
  <c r="N120" i="9"/>
  <c r="M120" i="9"/>
  <c r="P120" i="9" s="1"/>
  <c r="L120" i="9"/>
  <c r="O120" i="9" s="1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K99" i="9" s="1"/>
  <c r="J98" i="9"/>
  <c r="J86" i="9" s="1"/>
  <c r="I98" i="9"/>
  <c r="I86" i="9" s="1"/>
  <c r="K86" i="9" s="1"/>
  <c r="N96" i="9"/>
  <c r="M96" i="9"/>
  <c r="P96" i="9" s="1"/>
  <c r="L96" i="9"/>
  <c r="O96" i="9" s="1"/>
  <c r="P95" i="9"/>
  <c r="O95" i="9"/>
  <c r="N93" i="9"/>
  <c r="N91" i="9" s="1"/>
  <c r="M93" i="9"/>
  <c r="L93" i="9"/>
  <c r="L91" i="9" s="1"/>
  <c r="P92" i="9"/>
  <c r="O92" i="9"/>
  <c r="P89" i="9"/>
  <c r="N89" i="9"/>
  <c r="M89" i="9"/>
  <c r="L89" i="9"/>
  <c r="O89" i="9" s="1"/>
  <c r="J87" i="9"/>
  <c r="I84" i="9"/>
  <c r="K84" i="9" s="1"/>
  <c r="I83" i="9"/>
  <c r="K83" i="9" s="1"/>
  <c r="I82" i="9"/>
  <c r="K82" i="9" s="1"/>
  <c r="I81" i="9"/>
  <c r="I80" i="9"/>
  <c r="K80" i="9" s="1"/>
  <c r="I79" i="9"/>
  <c r="K79" i="9" s="1"/>
  <c r="I78" i="9"/>
  <c r="J77" i="9"/>
  <c r="J76" i="9"/>
  <c r="N74" i="9"/>
  <c r="N72" i="9" s="1"/>
  <c r="M74" i="9"/>
  <c r="P74" i="9" s="1"/>
  <c r="L74" i="9"/>
  <c r="O74" i="9" s="1"/>
  <c r="P73" i="9"/>
  <c r="O73" i="9"/>
  <c r="N71" i="9"/>
  <c r="M71" i="9"/>
  <c r="P71" i="9" s="1"/>
  <c r="L71" i="9"/>
  <c r="O71" i="9" s="1"/>
  <c r="P70" i="9"/>
  <c r="O70" i="9"/>
  <c r="P67" i="9"/>
  <c r="O67" i="9"/>
  <c r="N67" i="9"/>
  <c r="M67" i="9"/>
  <c r="L67" i="9"/>
  <c r="J65" i="9"/>
  <c r="J64" i="9"/>
  <c r="N61" i="9"/>
  <c r="M61" i="9"/>
  <c r="P61" i="9" s="1"/>
  <c r="L61" i="9"/>
  <c r="L59" i="9" s="1"/>
  <c r="O59" i="9" s="1"/>
  <c r="P60" i="9"/>
  <c r="O60" i="9"/>
  <c r="N58" i="9"/>
  <c r="M58" i="9"/>
  <c r="M56" i="9" s="1"/>
  <c r="L58" i="9"/>
  <c r="P57" i="9"/>
  <c r="O57" i="9"/>
  <c r="N54" i="9"/>
  <c r="M54" i="9"/>
  <c r="L54" i="9"/>
  <c r="O54" i="9" s="1"/>
  <c r="N49" i="9"/>
  <c r="N47" i="9" s="1"/>
  <c r="M49" i="9"/>
  <c r="P49" i="9" s="1"/>
  <c r="L49" i="9"/>
  <c r="L47" i="9" s="1"/>
  <c r="O47" i="9" s="1"/>
  <c r="P48" i="9"/>
  <c r="O48" i="9"/>
  <c r="N46" i="9"/>
  <c r="M46" i="9"/>
  <c r="M44" i="9" s="1"/>
  <c r="L46" i="9"/>
  <c r="L44" i="9" s="1"/>
  <c r="P45" i="9"/>
  <c r="O45" i="9"/>
  <c r="N42" i="9"/>
  <c r="M42" i="9"/>
  <c r="P42" i="9" s="1"/>
  <c r="L42" i="9"/>
  <c r="P36" i="9"/>
  <c r="N36" i="9"/>
  <c r="M36" i="9"/>
  <c r="O35" i="9"/>
  <c r="N35" i="9"/>
  <c r="N34" i="9" s="1"/>
  <c r="M35" i="9"/>
  <c r="P35" i="9" s="1"/>
  <c r="L35" i="9"/>
  <c r="M34" i="9"/>
  <c r="P34" i="9" s="1"/>
  <c r="N33" i="9"/>
  <c r="M33" i="9"/>
  <c r="P33" i="9" s="1"/>
  <c r="P32" i="9"/>
  <c r="N32" i="9"/>
  <c r="N31" i="9" s="1"/>
  <c r="M32" i="9"/>
  <c r="L32" i="9"/>
  <c r="O32" i="9" s="1"/>
  <c r="P31" i="9"/>
  <c r="M31" i="9"/>
  <c r="N30" i="9"/>
  <c r="M29" i="9"/>
  <c r="P29" i="9" s="1"/>
  <c r="P25" i="9"/>
  <c r="N25" i="9"/>
  <c r="M25" i="9"/>
  <c r="L25" i="9"/>
  <c r="O25" i="9" s="1"/>
  <c r="O22" i="9"/>
  <c r="N22" i="9"/>
  <c r="M22" i="9"/>
  <c r="P22" i="9" s="1"/>
  <c r="L22" i="9"/>
  <c r="L19" i="9"/>
  <c r="O19" i="9" s="1"/>
  <c r="M15" i="9"/>
  <c r="P15" i="9" s="1"/>
  <c r="L12" i="9"/>
  <c r="O12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N807" i="8" s="1"/>
  <c r="N805" i="8" s="1"/>
  <c r="P809" i="8"/>
  <c r="O809" i="8"/>
  <c r="N808" i="8"/>
  <c r="M808" i="8"/>
  <c r="P808" i="8" s="1"/>
  <c r="L808" i="8"/>
  <c r="O808" i="8" s="1"/>
  <c r="M807" i="8"/>
  <c r="P807" i="8" s="1"/>
  <c r="L807" i="8"/>
  <c r="O807" i="8" s="1"/>
  <c r="P806" i="8"/>
  <c r="N806" i="8"/>
  <c r="M806" i="8"/>
  <c r="M805" i="8" s="1"/>
  <c r="P805" i="8" s="1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L789" i="8" s="1"/>
  <c r="O789" i="8" s="1"/>
  <c r="P790" i="8"/>
  <c r="O790" i="8"/>
  <c r="N789" i="8"/>
  <c r="M789" i="8"/>
  <c r="P789" i="8" s="1"/>
  <c r="M788" i="8"/>
  <c r="P788" i="8" s="1"/>
  <c r="P787" i="8"/>
  <c r="N787" i="8"/>
  <c r="M787" i="8"/>
  <c r="M786" i="8" s="1"/>
  <c r="P786" i="8" s="1"/>
  <c r="L787" i="8"/>
  <c r="P782" i="8"/>
  <c r="O782" i="8"/>
  <c r="P781" i="8"/>
  <c r="O781" i="8"/>
  <c r="P780" i="8"/>
  <c r="O780" i="8"/>
  <c r="N780" i="8"/>
  <c r="M780" i="8"/>
  <c r="L780" i="8"/>
  <c r="P775" i="8"/>
  <c r="O775" i="8"/>
  <c r="N775" i="8"/>
  <c r="P774" i="8"/>
  <c r="O774" i="8"/>
  <c r="O773" i="8"/>
  <c r="N773" i="8"/>
  <c r="M773" i="8"/>
  <c r="P773" i="8" s="1"/>
  <c r="L773" i="8"/>
  <c r="N772" i="8"/>
  <c r="M772" i="8"/>
  <c r="P772" i="8" s="1"/>
  <c r="L772" i="8"/>
  <c r="O772" i="8" s="1"/>
  <c r="N771" i="8"/>
  <c r="M771" i="8"/>
  <c r="L771" i="8"/>
  <c r="O771" i="8" s="1"/>
  <c r="L770" i="8"/>
  <c r="O770" i="8" s="1"/>
  <c r="K769" i="8"/>
  <c r="J769" i="8"/>
  <c r="P766" i="8"/>
  <c r="O766" i="8"/>
  <c r="P765" i="8"/>
  <c r="O765" i="8"/>
  <c r="P764" i="8"/>
  <c r="O764" i="8"/>
  <c r="N764" i="8"/>
  <c r="M764" i="8"/>
  <c r="L764" i="8"/>
  <c r="P759" i="8"/>
  <c r="O759" i="8"/>
  <c r="N759" i="8"/>
  <c r="P758" i="8"/>
  <c r="O758" i="8"/>
  <c r="O757" i="8"/>
  <c r="N757" i="8"/>
  <c r="M757" i="8"/>
  <c r="P757" i="8" s="1"/>
  <c r="L757" i="8"/>
  <c r="N756" i="8"/>
  <c r="M756" i="8"/>
  <c r="P756" i="8" s="1"/>
  <c r="L756" i="8"/>
  <c r="O756" i="8" s="1"/>
  <c r="N755" i="8"/>
  <c r="N754" i="8" s="1"/>
  <c r="M755" i="8"/>
  <c r="L755" i="8"/>
  <c r="O755" i="8" s="1"/>
  <c r="L754" i="8"/>
  <c r="O754" i="8" s="1"/>
  <c r="K753" i="8"/>
  <c r="J753" i="8"/>
  <c r="P749" i="8"/>
  <c r="O749" i="8"/>
  <c r="P748" i="8"/>
  <c r="O748" i="8"/>
  <c r="P747" i="8"/>
  <c r="O747" i="8"/>
  <c r="N747" i="8"/>
  <c r="M747" i="8"/>
  <c r="L747" i="8"/>
  <c r="P742" i="8"/>
  <c r="O742" i="8"/>
  <c r="N742" i="8"/>
  <c r="P741" i="8"/>
  <c r="O741" i="8"/>
  <c r="O740" i="8"/>
  <c r="N740" i="8"/>
  <c r="M740" i="8"/>
  <c r="P740" i="8" s="1"/>
  <c r="L740" i="8"/>
  <c r="N739" i="8"/>
  <c r="M739" i="8"/>
  <c r="P739" i="8" s="1"/>
  <c r="L739" i="8"/>
  <c r="O739" i="8" s="1"/>
  <c r="N738" i="8"/>
  <c r="M738" i="8"/>
  <c r="L738" i="8"/>
  <c r="O738" i="8" s="1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K701" i="8" s="1"/>
  <c r="J700" i="8"/>
  <c r="I700" i="8"/>
  <c r="J699" i="8"/>
  <c r="I699" i="8"/>
  <c r="K699" i="8" s="1"/>
  <c r="P697" i="8"/>
  <c r="O697" i="8"/>
  <c r="P696" i="8"/>
  <c r="O696" i="8"/>
  <c r="P695" i="8"/>
  <c r="O695" i="8"/>
  <c r="N695" i="8"/>
  <c r="M695" i="8"/>
  <c r="L695" i="8"/>
  <c r="P690" i="8"/>
  <c r="N690" i="8"/>
  <c r="N687" i="8" s="1"/>
  <c r="N685" i="8" s="1"/>
  <c r="L690" i="8"/>
  <c r="L688" i="8" s="1"/>
  <c r="O688" i="8" s="1"/>
  <c r="N688" i="8"/>
  <c r="M688" i="8"/>
  <c r="P688" i="8" s="1"/>
  <c r="M687" i="8"/>
  <c r="P687" i="8" s="1"/>
  <c r="P686" i="8"/>
  <c r="N686" i="8"/>
  <c r="M686" i="8"/>
  <c r="L686" i="8"/>
  <c r="J679" i="8"/>
  <c r="J678" i="8" s="1"/>
  <c r="I678" i="8"/>
  <c r="K678" i="8" s="1"/>
  <c r="J675" i="8"/>
  <c r="I671" i="8"/>
  <c r="K671" i="8" s="1"/>
  <c r="I670" i="8"/>
  <c r="K670" i="8" s="1"/>
  <c r="J669" i="8"/>
  <c r="J654" i="8" s="1"/>
  <c r="I669" i="8"/>
  <c r="K675" i="8" s="1"/>
  <c r="P667" i="8"/>
  <c r="O667" i="8"/>
  <c r="P666" i="8"/>
  <c r="O666" i="8"/>
  <c r="P665" i="8"/>
  <c r="N665" i="8"/>
  <c r="M665" i="8"/>
  <c r="L665" i="8"/>
  <c r="O665" i="8" s="1"/>
  <c r="P660" i="8"/>
  <c r="N660" i="8"/>
  <c r="L660" i="8"/>
  <c r="L658" i="8" s="1"/>
  <c r="O658" i="8" s="1"/>
  <c r="P659" i="8"/>
  <c r="O659" i="8"/>
  <c r="P658" i="8"/>
  <c r="N658" i="8"/>
  <c r="M658" i="8"/>
  <c r="P657" i="8"/>
  <c r="N657" i="8"/>
  <c r="M657" i="8"/>
  <c r="O656" i="8"/>
  <c r="N656" i="8"/>
  <c r="M656" i="8"/>
  <c r="P656" i="8" s="1"/>
  <c r="L656" i="8"/>
  <c r="N655" i="8"/>
  <c r="M655" i="8"/>
  <c r="P655" i="8" s="1"/>
  <c r="K652" i="8"/>
  <c r="J652" i="8"/>
  <c r="J651" i="8"/>
  <c r="J628" i="8" s="1"/>
  <c r="I651" i="8"/>
  <c r="I628" i="8" s="1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N639" i="8"/>
  <c r="M639" i="8"/>
  <c r="P639" i="8" s="1"/>
  <c r="P634" i="8"/>
  <c r="N634" i="8"/>
  <c r="N631" i="8" s="1"/>
  <c r="N629" i="8" s="1"/>
  <c r="L634" i="8"/>
  <c r="P633" i="8"/>
  <c r="O633" i="8"/>
  <c r="N632" i="8"/>
  <c r="M632" i="8"/>
  <c r="P632" i="8" s="1"/>
  <c r="P631" i="8"/>
  <c r="M631" i="8"/>
  <c r="P630" i="8"/>
  <c r="O630" i="8"/>
  <c r="N630" i="8"/>
  <c r="M630" i="8"/>
  <c r="L630" i="8"/>
  <c r="P629" i="8"/>
  <c r="M629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3" i="8" s="1"/>
  <c r="J594" i="8"/>
  <c r="I594" i="8"/>
  <c r="K594" i="8" s="1"/>
  <c r="I593" i="8"/>
  <c r="I592" i="8" s="1"/>
  <c r="J583" i="8"/>
  <c r="J582" i="8"/>
  <c r="J577" i="8"/>
  <c r="I577" i="8"/>
  <c r="J576" i="8"/>
  <c r="I576" i="8"/>
  <c r="I559" i="8" s="1"/>
  <c r="I543" i="8" s="1"/>
  <c r="J569" i="8"/>
  <c r="I569" i="8"/>
  <c r="J568" i="8"/>
  <c r="I568" i="8"/>
  <c r="K568" i="8" s="1"/>
  <c r="J567" i="8"/>
  <c r="J566" i="8"/>
  <c r="J565" i="8"/>
  <c r="J564" i="8"/>
  <c r="J563" i="8"/>
  <c r="J562" i="8"/>
  <c r="J561" i="8"/>
  <c r="I561" i="8"/>
  <c r="K561" i="8" s="1"/>
  <c r="I560" i="8"/>
  <c r="J559" i="8"/>
  <c r="J543" i="8" s="1"/>
  <c r="P557" i="8"/>
  <c r="L557" i="8"/>
  <c r="O557" i="8" s="1"/>
  <c r="P556" i="8"/>
  <c r="O556" i="8"/>
  <c r="P555" i="8"/>
  <c r="N555" i="8"/>
  <c r="M555" i="8"/>
  <c r="P549" i="8"/>
  <c r="N549" i="8"/>
  <c r="L549" i="8"/>
  <c r="L547" i="8" s="1"/>
  <c r="O547" i="8" s="1"/>
  <c r="P548" i="8"/>
  <c r="O548" i="8"/>
  <c r="P547" i="8"/>
  <c r="N547" i="8"/>
  <c r="M547" i="8"/>
  <c r="M546" i="8"/>
  <c r="P546" i="8" s="1"/>
  <c r="N545" i="8"/>
  <c r="M545" i="8"/>
  <c r="P545" i="8" s="1"/>
  <c r="L545" i="8"/>
  <c r="M544" i="8"/>
  <c r="P544" i="8" s="1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K537" i="8" s="1"/>
  <c r="P535" i="8"/>
  <c r="L535" i="8"/>
  <c r="O535" i="8" s="1"/>
  <c r="P534" i="8"/>
  <c r="O534" i="8"/>
  <c r="N533" i="8"/>
  <c r="M533" i="8"/>
  <c r="P533" i="8" s="1"/>
  <c r="P528" i="8"/>
  <c r="N528" i="8"/>
  <c r="N525" i="8" s="1"/>
  <c r="N523" i="8" s="1"/>
  <c r="L528" i="8"/>
  <c r="O528" i="8" s="1"/>
  <c r="P527" i="8"/>
  <c r="O527" i="8"/>
  <c r="N526" i="8"/>
  <c r="M526" i="8"/>
  <c r="P526" i="8" s="1"/>
  <c r="M525" i="8"/>
  <c r="P525" i="8" s="1"/>
  <c r="P524" i="8"/>
  <c r="N524" i="8"/>
  <c r="M524" i="8"/>
  <c r="M523" i="8" s="1"/>
  <c r="L524" i="8"/>
  <c r="K517" i="8"/>
  <c r="J517" i="8"/>
  <c r="K516" i="8"/>
  <c r="P514" i="8"/>
  <c r="O514" i="8"/>
  <c r="P513" i="8"/>
  <c r="O513" i="8"/>
  <c r="N512" i="8"/>
  <c r="M512" i="8"/>
  <c r="P512" i="8" s="1"/>
  <c r="L512" i="8"/>
  <c r="O512" i="8" s="1"/>
  <c r="P507" i="8"/>
  <c r="O507" i="8"/>
  <c r="N507" i="8"/>
  <c r="N505" i="8" s="1"/>
  <c r="P506" i="8"/>
  <c r="O506" i="8"/>
  <c r="P505" i="8"/>
  <c r="M505" i="8"/>
  <c r="L505" i="8"/>
  <c r="O505" i="8" s="1"/>
  <c r="P504" i="8"/>
  <c r="O504" i="8"/>
  <c r="N504" i="8"/>
  <c r="M504" i="8"/>
  <c r="L504" i="8"/>
  <c r="P503" i="8"/>
  <c r="O503" i="8"/>
  <c r="N503" i="8"/>
  <c r="N502" i="8" s="1"/>
  <c r="M503" i="8"/>
  <c r="L503" i="8"/>
  <c r="O502" i="8"/>
  <c r="M502" i="8"/>
  <c r="P502" i="8" s="1"/>
  <c r="L502" i="8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P478" i="8"/>
  <c r="O478" i="8"/>
  <c r="N477" i="8"/>
  <c r="M477" i="8"/>
  <c r="P477" i="8" s="1"/>
  <c r="P472" i="8"/>
  <c r="N472" i="8"/>
  <c r="L472" i="8"/>
  <c r="L470" i="8" s="1"/>
  <c r="O470" i="8" s="1"/>
  <c r="P471" i="8"/>
  <c r="O471" i="8"/>
  <c r="P470" i="8"/>
  <c r="N470" i="8"/>
  <c r="M470" i="8"/>
  <c r="P469" i="8"/>
  <c r="N469" i="8"/>
  <c r="M469" i="8"/>
  <c r="P468" i="8"/>
  <c r="O468" i="8"/>
  <c r="N468" i="8"/>
  <c r="N467" i="8" s="1"/>
  <c r="M468" i="8"/>
  <c r="L468" i="8"/>
  <c r="M467" i="8"/>
  <c r="P467" i="8" s="1"/>
  <c r="J466" i="8"/>
  <c r="I466" i="8"/>
  <c r="K466" i="8" s="1"/>
  <c r="J465" i="8"/>
  <c r="I465" i="8"/>
  <c r="I464" i="8"/>
  <c r="I463" i="8"/>
  <c r="I462" i="8"/>
  <c r="K462" i="8" s="1"/>
  <c r="I460" i="8"/>
  <c r="I442" i="8" s="1"/>
  <c r="K442" i="8" s="1"/>
  <c r="K458" i="8"/>
  <c r="P456" i="8"/>
  <c r="L456" i="8"/>
  <c r="P455" i="8"/>
  <c r="O455" i="8"/>
  <c r="N454" i="8"/>
  <c r="M454" i="8"/>
  <c r="P454" i="8" s="1"/>
  <c r="P449" i="8"/>
  <c r="N449" i="8"/>
  <c r="N446" i="8" s="1"/>
  <c r="N444" i="8" s="1"/>
  <c r="L449" i="8"/>
  <c r="P448" i="8"/>
  <c r="O448" i="8"/>
  <c r="N447" i="8"/>
  <c r="M447" i="8"/>
  <c r="P447" i="8" s="1"/>
  <c r="P446" i="8"/>
  <c r="M446" i="8"/>
  <c r="P445" i="8"/>
  <c r="O445" i="8"/>
  <c r="N445" i="8"/>
  <c r="M445" i="8"/>
  <c r="L445" i="8"/>
  <c r="P444" i="8"/>
  <c r="M444" i="8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K435" i="8" s="1"/>
  <c r="J434" i="8"/>
  <c r="P431" i="8"/>
  <c r="L431" i="8"/>
  <c r="O431" i="8" s="1"/>
  <c r="P430" i="8"/>
  <c r="O430" i="8"/>
  <c r="N429" i="8"/>
  <c r="M429" i="8"/>
  <c r="P429" i="8" s="1"/>
  <c r="P424" i="8"/>
  <c r="N424" i="8"/>
  <c r="N421" i="8" s="1"/>
  <c r="N419" i="8" s="1"/>
  <c r="L424" i="8"/>
  <c r="P423" i="8"/>
  <c r="O423" i="8"/>
  <c r="N422" i="8"/>
  <c r="M422" i="8"/>
  <c r="P422" i="8" s="1"/>
  <c r="P421" i="8"/>
  <c r="M421" i="8"/>
  <c r="P420" i="8"/>
  <c r="O420" i="8"/>
  <c r="N420" i="8"/>
  <c r="M420" i="8"/>
  <c r="L420" i="8"/>
  <c r="P419" i="8"/>
  <c r="M419" i="8"/>
  <c r="J418" i="8"/>
  <c r="K413" i="8"/>
  <c r="K412" i="8"/>
  <c r="N410" i="8"/>
  <c r="N408" i="8" s="1"/>
  <c r="M410" i="8"/>
  <c r="M408" i="8" s="1"/>
  <c r="P408" i="8" s="1"/>
  <c r="L410" i="8"/>
  <c r="P409" i="8"/>
  <c r="O409" i="8"/>
  <c r="N407" i="8"/>
  <c r="N405" i="8" s="1"/>
  <c r="M407" i="8"/>
  <c r="M405" i="8" s="1"/>
  <c r="P405" i="8" s="1"/>
  <c r="L407" i="8"/>
  <c r="P406" i="8"/>
  <c r="O406" i="8"/>
  <c r="O403" i="8"/>
  <c r="N403" i="8"/>
  <c r="M403" i="8"/>
  <c r="L403" i="8"/>
  <c r="K401" i="8"/>
  <c r="J401" i="8"/>
  <c r="I401" i="8"/>
  <c r="K400" i="8"/>
  <c r="K399" i="8"/>
  <c r="N397" i="8"/>
  <c r="M397" i="8"/>
  <c r="L397" i="8"/>
  <c r="P396" i="8"/>
  <c r="O396" i="8"/>
  <c r="N394" i="8"/>
  <c r="N392" i="8" s="1"/>
  <c r="M394" i="8"/>
  <c r="P394" i="8" s="1"/>
  <c r="L394" i="8"/>
  <c r="P393" i="8"/>
  <c r="O393" i="8"/>
  <c r="P390" i="8"/>
  <c r="O390" i="8"/>
  <c r="N390" i="8"/>
  <c r="M390" i="8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M351" i="8" s="1"/>
  <c r="L353" i="8"/>
  <c r="P352" i="8"/>
  <c r="O352" i="8"/>
  <c r="N350" i="8"/>
  <c r="N348" i="8" s="1"/>
  <c r="M350" i="8"/>
  <c r="M348" i="8" s="1"/>
  <c r="L350" i="8"/>
  <c r="P349" i="8"/>
  <c r="O349" i="8"/>
  <c r="P346" i="8"/>
  <c r="O346" i="8"/>
  <c r="N346" i="8"/>
  <c r="M346" i="8"/>
  <c r="L346" i="8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P335" i="8"/>
  <c r="O335" i="8"/>
  <c r="N333" i="8"/>
  <c r="N331" i="8" s="1"/>
  <c r="M333" i="8"/>
  <c r="L333" i="8"/>
  <c r="P332" i="8"/>
  <c r="O332" i="8"/>
  <c r="P329" i="8"/>
  <c r="O329" i="8"/>
  <c r="N329" i="8"/>
  <c r="M329" i="8"/>
  <c r="L329" i="8"/>
  <c r="I327" i="8"/>
  <c r="I325" i="8"/>
  <c r="K325" i="8" s="1"/>
  <c r="N323" i="8"/>
  <c r="M323" i="8"/>
  <c r="P323" i="8" s="1"/>
  <c r="L323" i="8"/>
  <c r="P322" i="8"/>
  <c r="O322" i="8"/>
  <c r="N320" i="8"/>
  <c r="N318" i="8" s="1"/>
  <c r="M320" i="8"/>
  <c r="P320" i="8" s="1"/>
  <c r="L320" i="8"/>
  <c r="P319" i="8"/>
  <c r="O319" i="8"/>
  <c r="N316" i="8"/>
  <c r="M316" i="8"/>
  <c r="L316" i="8"/>
  <c r="O316" i="8" s="1"/>
  <c r="J314" i="8"/>
  <c r="I312" i="8"/>
  <c r="K312" i="8" s="1"/>
  <c r="I311" i="8"/>
  <c r="K311" i="8" s="1"/>
  <c r="I310" i="8"/>
  <c r="K310" i="8" s="1"/>
  <c r="I309" i="8"/>
  <c r="N306" i="8"/>
  <c r="N304" i="8" s="1"/>
  <c r="M306" i="8"/>
  <c r="M304" i="8" s="1"/>
  <c r="P304" i="8" s="1"/>
  <c r="L306" i="8"/>
  <c r="P305" i="8"/>
  <c r="O305" i="8"/>
  <c r="N303" i="8"/>
  <c r="M303" i="8"/>
  <c r="L303" i="8"/>
  <c r="L301" i="8" s="1"/>
  <c r="P302" i="8"/>
  <c r="O302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I287" i="8"/>
  <c r="N285" i="8"/>
  <c r="N283" i="8" s="1"/>
  <c r="M285" i="8"/>
  <c r="P285" i="8" s="1"/>
  <c r="L285" i="8"/>
  <c r="O285" i="8" s="1"/>
  <c r="P284" i="8"/>
  <c r="O284" i="8"/>
  <c r="N282" i="8"/>
  <c r="N280" i="8" s="1"/>
  <c r="M282" i="8"/>
  <c r="L282" i="8"/>
  <c r="P281" i="8"/>
  <c r="O281" i="8"/>
  <c r="P278" i="8"/>
  <c r="O278" i="8"/>
  <c r="N278" i="8"/>
  <c r="M278" i="8"/>
  <c r="L278" i="8"/>
  <c r="J276" i="8"/>
  <c r="I271" i="8"/>
  <c r="K271" i="8" s="1"/>
  <c r="N269" i="8"/>
  <c r="N267" i="8" s="1"/>
  <c r="M269" i="8"/>
  <c r="L269" i="8"/>
  <c r="L267" i="8" s="1"/>
  <c r="O267" i="8" s="1"/>
  <c r="P268" i="8"/>
  <c r="O268" i="8"/>
  <c r="N266" i="8"/>
  <c r="M266" i="8"/>
  <c r="M264" i="8" s="1"/>
  <c r="L266" i="8"/>
  <c r="P265" i="8"/>
  <c r="O265" i="8"/>
  <c r="P262" i="8"/>
  <c r="N262" i="8"/>
  <c r="M262" i="8"/>
  <c r="L262" i="8"/>
  <c r="O262" i="8" s="1"/>
  <c r="J260" i="8"/>
  <c r="K258" i="8"/>
  <c r="K257" i="8"/>
  <c r="I255" i="8"/>
  <c r="I248" i="8" s="1"/>
  <c r="L253" i="8"/>
  <c r="L252" i="8"/>
  <c r="L251" i="8"/>
  <c r="L250" i="8"/>
  <c r="P249" i="8"/>
  <c r="N249" i="8"/>
  <c r="J248" i="8"/>
  <c r="K247" i="8"/>
  <c r="K246" i="8"/>
  <c r="I244" i="8"/>
  <c r="I237" i="8" s="1"/>
  <c r="K237" i="8" s="1"/>
  <c r="L242" i="8"/>
  <c r="L241" i="8"/>
  <c r="L240" i="8"/>
  <c r="L239" i="8"/>
  <c r="P238" i="8"/>
  <c r="N238" i="8"/>
  <c r="N227" i="8" s="1"/>
  <c r="J237" i="8"/>
  <c r="J236" i="8"/>
  <c r="I236" i="8"/>
  <c r="K236" i="8" s="1"/>
  <c r="J235" i="8"/>
  <c r="I235" i="8"/>
  <c r="J233" i="8"/>
  <c r="N231" i="8"/>
  <c r="N230" i="8"/>
  <c r="N229" i="8"/>
  <c r="N228" i="8"/>
  <c r="J226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M186" i="8"/>
  <c r="L186" i="8"/>
  <c r="P185" i="8"/>
  <c r="O185" i="8"/>
  <c r="P182" i="8"/>
  <c r="N182" i="8"/>
  <c r="M182" i="8"/>
  <c r="L182" i="8"/>
  <c r="J180" i="8"/>
  <c r="J177" i="8"/>
  <c r="I176" i="8"/>
  <c r="J174" i="8"/>
  <c r="J164" i="8" s="1"/>
  <c r="N173" i="8"/>
  <c r="N171" i="8" s="1"/>
  <c r="M173" i="8"/>
  <c r="P173" i="8" s="1"/>
  <c r="L173" i="8"/>
  <c r="L171" i="8" s="1"/>
  <c r="O171" i="8" s="1"/>
  <c r="P172" i="8"/>
  <c r="O172" i="8"/>
  <c r="N170" i="8"/>
  <c r="N168" i="8" s="1"/>
  <c r="M170" i="8"/>
  <c r="L170" i="8"/>
  <c r="P169" i="8"/>
  <c r="O169" i="8"/>
  <c r="P166" i="8"/>
  <c r="O166" i="8"/>
  <c r="N166" i="8"/>
  <c r="M166" i="8"/>
  <c r="L166" i="8"/>
  <c r="I159" i="8"/>
  <c r="K159" i="8" s="1"/>
  <c r="N157" i="8"/>
  <c r="N155" i="8" s="1"/>
  <c r="M157" i="8"/>
  <c r="P157" i="8" s="1"/>
  <c r="L157" i="8"/>
  <c r="P156" i="8"/>
  <c r="O156" i="8"/>
  <c r="N154" i="8"/>
  <c r="N152" i="8" s="1"/>
  <c r="M154" i="8"/>
  <c r="L154" i="8"/>
  <c r="L152" i="8" s="1"/>
  <c r="P153" i="8"/>
  <c r="O153" i="8"/>
  <c r="P150" i="8"/>
  <c r="N150" i="8"/>
  <c r="M150" i="8"/>
  <c r="L150" i="8"/>
  <c r="J148" i="8"/>
  <c r="I146" i="8"/>
  <c r="K146" i="8" s="1"/>
  <c r="I145" i="8"/>
  <c r="I143" i="8" s="1"/>
  <c r="I144" i="8"/>
  <c r="K144" i="8" s="1"/>
  <c r="N140" i="8"/>
  <c r="N138" i="8" s="1"/>
  <c r="M140" i="8"/>
  <c r="P140" i="8" s="1"/>
  <c r="L140" i="8"/>
  <c r="O140" i="8" s="1"/>
  <c r="P139" i="8"/>
  <c r="O139" i="8"/>
  <c r="N137" i="8"/>
  <c r="N135" i="8" s="1"/>
  <c r="M137" i="8"/>
  <c r="L137" i="8"/>
  <c r="P136" i="8"/>
  <c r="O136" i="8"/>
  <c r="P133" i="8"/>
  <c r="O133" i="8"/>
  <c r="N133" i="8"/>
  <c r="M133" i="8"/>
  <c r="L133" i="8"/>
  <c r="J130" i="8"/>
  <c r="N127" i="8"/>
  <c r="N125" i="8" s="1"/>
  <c r="M127" i="8"/>
  <c r="P127" i="8" s="1"/>
  <c r="L127" i="8"/>
  <c r="P126" i="8"/>
  <c r="O126" i="8"/>
  <c r="N124" i="8"/>
  <c r="N122" i="8" s="1"/>
  <c r="M124" i="8"/>
  <c r="P124" i="8" s="1"/>
  <c r="L124" i="8"/>
  <c r="O124" i="8" s="1"/>
  <c r="P123" i="8"/>
  <c r="O123" i="8"/>
  <c r="N120" i="8"/>
  <c r="M120" i="8"/>
  <c r="L120" i="8"/>
  <c r="O120" i="8" s="1"/>
  <c r="K118" i="8"/>
  <c r="J118" i="8"/>
  <c r="I116" i="8"/>
  <c r="I115" i="8"/>
  <c r="K115" i="8" s="1"/>
  <c r="I114" i="8"/>
  <c r="K114" i="8" s="1"/>
  <c r="I113" i="8"/>
  <c r="K113" i="8" s="1"/>
  <c r="J112" i="8"/>
  <c r="J111" i="8"/>
  <c r="I111" i="8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I87" i="8" s="1"/>
  <c r="K87" i="8" s="1"/>
  <c r="J98" i="8"/>
  <c r="I98" i="8"/>
  <c r="K98" i="8" s="1"/>
  <c r="N96" i="8"/>
  <c r="N94" i="8" s="1"/>
  <c r="M96" i="8"/>
  <c r="P96" i="8" s="1"/>
  <c r="L96" i="8"/>
  <c r="O96" i="8" s="1"/>
  <c r="P95" i="8"/>
  <c r="O95" i="8"/>
  <c r="N93" i="8"/>
  <c r="M93" i="8"/>
  <c r="L93" i="8"/>
  <c r="P92" i="8"/>
  <c r="O92" i="8"/>
  <c r="N89" i="8"/>
  <c r="M89" i="8"/>
  <c r="L89" i="8"/>
  <c r="O89" i="8" s="1"/>
  <c r="J86" i="8"/>
  <c r="I84" i="8"/>
  <c r="K84" i="8" s="1"/>
  <c r="I83" i="8"/>
  <c r="K83" i="8" s="1"/>
  <c r="I82" i="8"/>
  <c r="K82" i="8" s="1"/>
  <c r="I81" i="8"/>
  <c r="I80" i="8"/>
  <c r="K80" i="8" s="1"/>
  <c r="I79" i="8"/>
  <c r="K79" i="8" s="1"/>
  <c r="I78" i="8"/>
  <c r="J77" i="8"/>
  <c r="J76" i="8"/>
  <c r="J64" i="8" s="1"/>
  <c r="N74" i="8"/>
  <c r="N72" i="8" s="1"/>
  <c r="M74" i="8"/>
  <c r="L74" i="8"/>
  <c r="O74" i="8" s="1"/>
  <c r="P73" i="8"/>
  <c r="O73" i="8"/>
  <c r="N71" i="8"/>
  <c r="N69" i="8" s="1"/>
  <c r="M71" i="8"/>
  <c r="M69" i="8" s="1"/>
  <c r="L71" i="8"/>
  <c r="L69" i="8" s="1"/>
  <c r="P70" i="8"/>
  <c r="O70" i="8"/>
  <c r="N67" i="8"/>
  <c r="M67" i="8"/>
  <c r="L67" i="8"/>
  <c r="O67" i="8" s="1"/>
  <c r="J65" i="8"/>
  <c r="N61" i="8"/>
  <c r="M61" i="8"/>
  <c r="M59" i="8" s="1"/>
  <c r="L61" i="8"/>
  <c r="L59" i="8" s="1"/>
  <c r="P60" i="8"/>
  <c r="O60" i="8"/>
  <c r="N58" i="8"/>
  <c r="N56" i="8" s="1"/>
  <c r="M58" i="8"/>
  <c r="L58" i="8"/>
  <c r="P57" i="8"/>
  <c r="O57" i="8"/>
  <c r="N54" i="8"/>
  <c r="M54" i="8"/>
  <c r="L54" i="8"/>
  <c r="O54" i="8" s="1"/>
  <c r="N49" i="8"/>
  <c r="N47" i="8" s="1"/>
  <c r="M49" i="8"/>
  <c r="M47" i="8" s="1"/>
  <c r="P47" i="8" s="1"/>
  <c r="L49" i="8"/>
  <c r="O49" i="8" s="1"/>
  <c r="P48" i="8"/>
  <c r="O48" i="8"/>
  <c r="N46" i="8"/>
  <c r="M46" i="8"/>
  <c r="M44" i="8" s="1"/>
  <c r="L46" i="8"/>
  <c r="L44" i="8" s="1"/>
  <c r="P45" i="8"/>
  <c r="O45" i="8"/>
  <c r="O42" i="8"/>
  <c r="N42" i="8"/>
  <c r="M42" i="8"/>
  <c r="P42" i="8" s="1"/>
  <c r="L42" i="8"/>
  <c r="P36" i="8"/>
  <c r="N36" i="8"/>
  <c r="N34" i="8" s="1"/>
  <c r="M36" i="8"/>
  <c r="N35" i="8"/>
  <c r="M35" i="8"/>
  <c r="P35" i="8" s="1"/>
  <c r="L35" i="8"/>
  <c r="M34" i="8"/>
  <c r="P34" i="8" s="1"/>
  <c r="N33" i="8"/>
  <c r="M33" i="8"/>
  <c r="M30" i="8" s="1"/>
  <c r="P30" i="8" s="1"/>
  <c r="P32" i="8"/>
  <c r="N32" i="8"/>
  <c r="N29" i="8" s="1"/>
  <c r="M32" i="8"/>
  <c r="L32" i="8"/>
  <c r="M29" i="8"/>
  <c r="P29" i="8" s="1"/>
  <c r="P25" i="8"/>
  <c r="N25" i="8"/>
  <c r="M25" i="8"/>
  <c r="L25" i="8"/>
  <c r="O22" i="8"/>
  <c r="N22" i="8"/>
  <c r="M22" i="8"/>
  <c r="L22" i="8"/>
  <c r="L19" i="8"/>
  <c r="O19" i="8" s="1"/>
  <c r="M15" i="8"/>
  <c r="M12" i="8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N807" i="7" s="1"/>
  <c r="P809" i="7"/>
  <c r="O809" i="7"/>
  <c r="N808" i="7"/>
  <c r="M808" i="7"/>
  <c r="P808" i="7" s="1"/>
  <c r="L808" i="7"/>
  <c r="O808" i="7" s="1"/>
  <c r="M807" i="7"/>
  <c r="P807" i="7" s="1"/>
  <c r="L807" i="7"/>
  <c r="O807" i="7" s="1"/>
  <c r="P806" i="7"/>
  <c r="N806" i="7"/>
  <c r="M806" i="7"/>
  <c r="L806" i="7"/>
  <c r="N805" i="7"/>
  <c r="K804" i="7"/>
  <c r="J804" i="7"/>
  <c r="J803" i="7"/>
  <c r="I803" i="7"/>
  <c r="K803" i="7" s="1"/>
  <c r="J802" i="7"/>
  <c r="J801" i="7"/>
  <c r="I801" i="7"/>
  <c r="J800" i="7"/>
  <c r="P798" i="7"/>
  <c r="O798" i="7"/>
  <c r="P797" i="7"/>
  <c r="O797" i="7"/>
  <c r="P796" i="7"/>
  <c r="O796" i="7"/>
  <c r="N796" i="7"/>
  <c r="M796" i="7"/>
  <c r="L796" i="7"/>
  <c r="P791" i="7"/>
  <c r="N791" i="7"/>
  <c r="N788" i="7" s="1"/>
  <c r="L791" i="7"/>
  <c r="L789" i="7" s="1"/>
  <c r="O789" i="7" s="1"/>
  <c r="P790" i="7"/>
  <c r="O790" i="7"/>
  <c r="P789" i="7"/>
  <c r="N789" i="7"/>
  <c r="M789" i="7"/>
  <c r="M788" i="7"/>
  <c r="P788" i="7" s="1"/>
  <c r="O787" i="7"/>
  <c r="N787" i="7"/>
  <c r="M787" i="7"/>
  <c r="L787" i="7"/>
  <c r="N786" i="7"/>
  <c r="P782" i="7"/>
  <c r="O782" i="7"/>
  <c r="P781" i="7"/>
  <c r="O781" i="7"/>
  <c r="N780" i="7"/>
  <c r="M780" i="7"/>
  <c r="P780" i="7" s="1"/>
  <c r="L780" i="7"/>
  <c r="O780" i="7" s="1"/>
  <c r="P775" i="7"/>
  <c r="O775" i="7"/>
  <c r="N775" i="7"/>
  <c r="N773" i="7" s="1"/>
  <c r="P774" i="7"/>
  <c r="O774" i="7"/>
  <c r="P773" i="7"/>
  <c r="M773" i="7"/>
  <c r="L773" i="7"/>
  <c r="O773" i="7" s="1"/>
  <c r="P772" i="7"/>
  <c r="O772" i="7"/>
  <c r="N772" i="7"/>
  <c r="M772" i="7"/>
  <c r="L772" i="7"/>
  <c r="O771" i="7"/>
  <c r="N771" i="7"/>
  <c r="M771" i="7"/>
  <c r="L771" i="7"/>
  <c r="L770" i="7"/>
  <c r="O770" i="7" s="1"/>
  <c r="K769" i="7"/>
  <c r="J769" i="7"/>
  <c r="P766" i="7"/>
  <c r="O766" i="7"/>
  <c r="P765" i="7"/>
  <c r="O765" i="7"/>
  <c r="N764" i="7"/>
  <c r="M764" i="7"/>
  <c r="P764" i="7" s="1"/>
  <c r="L764" i="7"/>
  <c r="O764" i="7" s="1"/>
  <c r="P759" i="7"/>
  <c r="O759" i="7"/>
  <c r="N759" i="7"/>
  <c r="P758" i="7"/>
  <c r="O758" i="7"/>
  <c r="P757" i="7"/>
  <c r="N757" i="7"/>
  <c r="M757" i="7"/>
  <c r="L757" i="7"/>
  <c r="O757" i="7" s="1"/>
  <c r="P756" i="7"/>
  <c r="O756" i="7"/>
  <c r="N756" i="7"/>
  <c r="M756" i="7"/>
  <c r="L756" i="7"/>
  <c r="P755" i="7"/>
  <c r="O755" i="7"/>
  <c r="N755" i="7"/>
  <c r="N754" i="7" s="1"/>
  <c r="M755" i="7"/>
  <c r="M754" i="7" s="1"/>
  <c r="P754" i="7" s="1"/>
  <c r="L755" i="7"/>
  <c r="L754" i="7"/>
  <c r="O754" i="7" s="1"/>
  <c r="K753" i="7"/>
  <c r="J753" i="7"/>
  <c r="P749" i="7"/>
  <c r="O749" i="7"/>
  <c r="P748" i="7"/>
  <c r="O748" i="7"/>
  <c r="N747" i="7"/>
  <c r="M747" i="7"/>
  <c r="P747" i="7" s="1"/>
  <c r="L747" i="7"/>
  <c r="O747" i="7" s="1"/>
  <c r="P742" i="7"/>
  <c r="O742" i="7"/>
  <c r="N742" i="7"/>
  <c r="P741" i="7"/>
  <c r="O741" i="7"/>
  <c r="P740" i="7"/>
  <c r="N740" i="7"/>
  <c r="M740" i="7"/>
  <c r="L740" i="7"/>
  <c r="O740" i="7" s="1"/>
  <c r="P739" i="7"/>
  <c r="O739" i="7"/>
  <c r="N739" i="7"/>
  <c r="M739" i="7"/>
  <c r="L739" i="7"/>
  <c r="P738" i="7"/>
  <c r="O738" i="7"/>
  <c r="N738" i="7"/>
  <c r="N737" i="7" s="1"/>
  <c r="M738" i="7"/>
  <c r="M737" i="7" s="1"/>
  <c r="P737" i="7" s="1"/>
  <c r="L738" i="7"/>
  <c r="O737" i="7"/>
  <c r="L737" i="7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N695" i="7"/>
  <c r="M695" i="7"/>
  <c r="P695" i="7" s="1"/>
  <c r="L695" i="7"/>
  <c r="O695" i="7" s="1"/>
  <c r="P690" i="7"/>
  <c r="N690" i="7"/>
  <c r="L690" i="7"/>
  <c r="P688" i="7"/>
  <c r="N688" i="7"/>
  <c r="M688" i="7"/>
  <c r="N687" i="7"/>
  <c r="M687" i="7"/>
  <c r="P687" i="7" s="1"/>
  <c r="N686" i="7"/>
  <c r="M686" i="7"/>
  <c r="L686" i="7"/>
  <c r="N685" i="7"/>
  <c r="J679" i="7"/>
  <c r="J678" i="7" s="1"/>
  <c r="I678" i="7"/>
  <c r="K678" i="7" s="1"/>
  <c r="J675" i="7"/>
  <c r="J669" i="7" s="1"/>
  <c r="J654" i="7" s="1"/>
  <c r="I671" i="7"/>
  <c r="K671" i="7" s="1"/>
  <c r="I670" i="7"/>
  <c r="K670" i="7" s="1"/>
  <c r="I669" i="7"/>
  <c r="K674" i="7" s="1"/>
  <c r="P667" i="7"/>
  <c r="O667" i="7"/>
  <c r="P666" i="7"/>
  <c r="O666" i="7"/>
  <c r="O665" i="7"/>
  <c r="N665" i="7"/>
  <c r="M665" i="7"/>
  <c r="P665" i="7" s="1"/>
  <c r="L665" i="7"/>
  <c r="P660" i="7"/>
  <c r="N660" i="7"/>
  <c r="N657" i="7" s="1"/>
  <c r="N655" i="7" s="1"/>
  <c r="L660" i="7"/>
  <c r="O660" i="7" s="1"/>
  <c r="P659" i="7"/>
  <c r="O659" i="7"/>
  <c r="N658" i="7"/>
  <c r="M658" i="7"/>
  <c r="P658" i="7" s="1"/>
  <c r="P657" i="7"/>
  <c r="M657" i="7"/>
  <c r="M655" i="7" s="1"/>
  <c r="P655" i="7" s="1"/>
  <c r="P656" i="7"/>
  <c r="O656" i="7"/>
  <c r="N656" i="7"/>
  <c r="M656" i="7"/>
  <c r="L656" i="7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P634" i="7"/>
  <c r="N634" i="7"/>
  <c r="N631" i="7" s="1"/>
  <c r="L634" i="7"/>
  <c r="P633" i="7"/>
  <c r="O633" i="7"/>
  <c r="P632" i="7"/>
  <c r="N632" i="7"/>
  <c r="M632" i="7"/>
  <c r="M631" i="7"/>
  <c r="P631" i="7" s="1"/>
  <c r="N630" i="7"/>
  <c r="N629" i="7" s="1"/>
  <c r="M630" i="7"/>
  <c r="P630" i="7" s="1"/>
  <c r="L630" i="7"/>
  <c r="P629" i="7"/>
  <c r="M629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J593" i="7" s="1"/>
  <c r="I594" i="7"/>
  <c r="K594" i="7" s="1"/>
  <c r="I593" i="7"/>
  <c r="I592" i="7" s="1"/>
  <c r="J583" i="7"/>
  <c r="J577" i="7" s="1"/>
  <c r="J582" i="7"/>
  <c r="I577" i="7"/>
  <c r="J576" i="7"/>
  <c r="J559" i="7" s="1"/>
  <c r="I576" i="7"/>
  <c r="I559" i="7" s="1"/>
  <c r="I543" i="7" s="1"/>
  <c r="J569" i="7"/>
  <c r="I569" i="7"/>
  <c r="J568" i="7"/>
  <c r="I568" i="7"/>
  <c r="K568" i="7" s="1"/>
  <c r="J561" i="7"/>
  <c r="I561" i="7"/>
  <c r="J560" i="7"/>
  <c r="I560" i="7"/>
  <c r="K560" i="7" s="1"/>
  <c r="P557" i="7"/>
  <c r="L557" i="7"/>
  <c r="O557" i="7" s="1"/>
  <c r="P556" i="7"/>
  <c r="O556" i="7"/>
  <c r="N555" i="7"/>
  <c r="M555" i="7"/>
  <c r="P555" i="7" s="1"/>
  <c r="P549" i="7"/>
  <c r="N549" i="7"/>
  <c r="L549" i="7"/>
  <c r="P548" i="7"/>
  <c r="O548" i="7"/>
  <c r="N547" i="7"/>
  <c r="M547" i="7"/>
  <c r="P547" i="7" s="1"/>
  <c r="P546" i="7"/>
  <c r="N546" i="7"/>
  <c r="M546" i="7"/>
  <c r="P545" i="7"/>
  <c r="O545" i="7"/>
  <c r="N545" i="7"/>
  <c r="N544" i="7" s="1"/>
  <c r="M545" i="7"/>
  <c r="L545" i="7"/>
  <c r="P544" i="7"/>
  <c r="M544" i="7"/>
  <c r="I542" i="7"/>
  <c r="K542" i="7" s="1"/>
  <c r="I541" i="7"/>
  <c r="K541" i="7" s="1"/>
  <c r="I540" i="7"/>
  <c r="K540" i="7" s="1"/>
  <c r="I539" i="7"/>
  <c r="I538" i="7"/>
  <c r="K538" i="7" s="1"/>
  <c r="I537" i="7"/>
  <c r="I522" i="7" s="1"/>
  <c r="K522" i="7" s="1"/>
  <c r="P535" i="7"/>
  <c r="L535" i="7"/>
  <c r="O535" i="7" s="1"/>
  <c r="P534" i="7"/>
  <c r="O534" i="7"/>
  <c r="P533" i="7"/>
  <c r="N533" i="7"/>
  <c r="M533" i="7"/>
  <c r="P528" i="7"/>
  <c r="N528" i="7"/>
  <c r="N525" i="7" s="1"/>
  <c r="L528" i="7"/>
  <c r="O528" i="7" s="1"/>
  <c r="P527" i="7"/>
  <c r="O527" i="7"/>
  <c r="P526" i="7"/>
  <c r="N526" i="7"/>
  <c r="M526" i="7"/>
  <c r="M525" i="7"/>
  <c r="P525" i="7" s="1"/>
  <c r="O524" i="7"/>
  <c r="N524" i="7"/>
  <c r="M524" i="7"/>
  <c r="M523" i="7" s="1"/>
  <c r="P523" i="7" s="1"/>
  <c r="L524" i="7"/>
  <c r="N523" i="7"/>
  <c r="K517" i="7"/>
  <c r="J517" i="7"/>
  <c r="K516" i="7"/>
  <c r="P514" i="7"/>
  <c r="O514" i="7"/>
  <c r="P513" i="7"/>
  <c r="O513" i="7"/>
  <c r="O512" i="7"/>
  <c r="N512" i="7"/>
  <c r="M512" i="7"/>
  <c r="P512" i="7" s="1"/>
  <c r="L512" i="7"/>
  <c r="P507" i="7"/>
  <c r="O507" i="7"/>
  <c r="N507" i="7"/>
  <c r="N505" i="7" s="1"/>
  <c r="P506" i="7"/>
  <c r="O506" i="7"/>
  <c r="O505" i="7"/>
  <c r="M505" i="7"/>
  <c r="P505" i="7" s="1"/>
  <c r="L505" i="7"/>
  <c r="N504" i="7"/>
  <c r="N502" i="7" s="1"/>
  <c r="M504" i="7"/>
  <c r="P504" i="7" s="1"/>
  <c r="L504" i="7"/>
  <c r="O504" i="7" s="1"/>
  <c r="P503" i="7"/>
  <c r="N503" i="7"/>
  <c r="M503" i="7"/>
  <c r="M502" i="7" s="1"/>
  <c r="P502" i="7" s="1"/>
  <c r="L503" i="7"/>
  <c r="O503" i="7" s="1"/>
  <c r="O502" i="7"/>
  <c r="L502" i="7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P478" i="7"/>
  <c r="O478" i="7"/>
  <c r="N477" i="7"/>
  <c r="M477" i="7"/>
  <c r="P477" i="7" s="1"/>
  <c r="P472" i="7"/>
  <c r="N472" i="7"/>
  <c r="L472" i="7"/>
  <c r="O472" i="7" s="1"/>
  <c r="P471" i="7"/>
  <c r="O471" i="7"/>
  <c r="N470" i="7"/>
  <c r="M470" i="7"/>
  <c r="P470" i="7" s="1"/>
  <c r="N469" i="7"/>
  <c r="N467" i="7" s="1"/>
  <c r="M469" i="7"/>
  <c r="P469" i="7" s="1"/>
  <c r="N468" i="7"/>
  <c r="M468" i="7"/>
  <c r="L468" i="7"/>
  <c r="O468" i="7" s="1"/>
  <c r="J466" i="7"/>
  <c r="I466" i="7"/>
  <c r="K466" i="7" s="1"/>
  <c r="J465" i="7"/>
  <c r="I465" i="7"/>
  <c r="K465" i="7" s="1"/>
  <c r="I464" i="7"/>
  <c r="I463" i="7"/>
  <c r="I462" i="7"/>
  <c r="I443" i="7" s="1"/>
  <c r="I460" i="7"/>
  <c r="K458" i="7"/>
  <c r="P456" i="7"/>
  <c r="L456" i="7"/>
  <c r="O456" i="7" s="1"/>
  <c r="P455" i="7"/>
  <c r="O455" i="7"/>
  <c r="P454" i="7"/>
  <c r="N454" i="7"/>
  <c r="M454" i="7"/>
  <c r="P449" i="7"/>
  <c r="N449" i="7"/>
  <c r="N446" i="7" s="1"/>
  <c r="L449" i="7"/>
  <c r="P448" i="7"/>
  <c r="O448" i="7"/>
  <c r="P447" i="7"/>
  <c r="N447" i="7"/>
  <c r="M447" i="7"/>
  <c r="M446" i="7"/>
  <c r="P446" i="7" s="1"/>
  <c r="N445" i="7"/>
  <c r="N444" i="7" s="1"/>
  <c r="M445" i="7"/>
  <c r="P445" i="7" s="1"/>
  <c r="L445" i="7"/>
  <c r="M444" i="7"/>
  <c r="P444" i="7" s="1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K435" i="7" s="1"/>
  <c r="J434" i="7"/>
  <c r="J418" i="7" s="1"/>
  <c r="P431" i="7"/>
  <c r="L431" i="7"/>
  <c r="P430" i="7"/>
  <c r="O430" i="7"/>
  <c r="P429" i="7"/>
  <c r="N429" i="7"/>
  <c r="M429" i="7"/>
  <c r="P424" i="7"/>
  <c r="N424" i="7"/>
  <c r="N421" i="7" s="1"/>
  <c r="L424" i="7"/>
  <c r="P423" i="7"/>
  <c r="O423" i="7"/>
  <c r="N422" i="7"/>
  <c r="M422" i="7"/>
  <c r="P422" i="7" s="1"/>
  <c r="M421" i="7"/>
  <c r="P421" i="7" s="1"/>
  <c r="N420" i="7"/>
  <c r="M420" i="7"/>
  <c r="P420" i="7" s="1"/>
  <c r="L420" i="7"/>
  <c r="P419" i="7"/>
  <c r="M419" i="7"/>
  <c r="K413" i="7"/>
  <c r="K412" i="7"/>
  <c r="N410" i="7"/>
  <c r="N408" i="7" s="1"/>
  <c r="M410" i="7"/>
  <c r="L410" i="7"/>
  <c r="O410" i="7" s="1"/>
  <c r="P409" i="7"/>
  <c r="O409" i="7"/>
  <c r="N407" i="7"/>
  <c r="M407" i="7"/>
  <c r="M405" i="7" s="1"/>
  <c r="P405" i="7" s="1"/>
  <c r="L407" i="7"/>
  <c r="O407" i="7" s="1"/>
  <c r="P406" i="7"/>
  <c r="O406" i="7"/>
  <c r="P403" i="7"/>
  <c r="O403" i="7"/>
  <c r="N403" i="7"/>
  <c r="M403" i="7"/>
  <c r="L403" i="7"/>
  <c r="K401" i="7"/>
  <c r="J401" i="7"/>
  <c r="I401" i="7"/>
  <c r="K400" i="7"/>
  <c r="K399" i="7"/>
  <c r="N397" i="7"/>
  <c r="N395" i="7" s="1"/>
  <c r="M397" i="7"/>
  <c r="P397" i="7" s="1"/>
  <c r="L397" i="7"/>
  <c r="L395" i="7" s="1"/>
  <c r="O395" i="7" s="1"/>
  <c r="P396" i="7"/>
  <c r="O396" i="7"/>
  <c r="N394" i="7"/>
  <c r="N392" i="7" s="1"/>
  <c r="M394" i="7"/>
  <c r="P394" i="7" s="1"/>
  <c r="L394" i="7"/>
  <c r="L392" i="7" s="1"/>
  <c r="O392" i="7" s="1"/>
  <c r="P393" i="7"/>
  <c r="O393" i="7"/>
  <c r="N390" i="7"/>
  <c r="M390" i="7"/>
  <c r="P390" i="7" s="1"/>
  <c r="L390" i="7"/>
  <c r="K388" i="7"/>
  <c r="J388" i="7"/>
  <c r="I388" i="7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L351" i="7" s="1"/>
  <c r="P352" i="7"/>
  <c r="O352" i="7"/>
  <c r="N350" i="7"/>
  <c r="M350" i="7"/>
  <c r="L350" i="7"/>
  <c r="L348" i="7" s="1"/>
  <c r="P349" i="7"/>
  <c r="O349" i="7"/>
  <c r="N346" i="7"/>
  <c r="M346" i="7"/>
  <c r="P346" i="7" s="1"/>
  <c r="L346" i="7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L334" i="7" s="1"/>
  <c r="O334" i="7" s="1"/>
  <c r="P335" i="7"/>
  <c r="O335" i="7"/>
  <c r="N333" i="7"/>
  <c r="N331" i="7" s="1"/>
  <c r="M333" i="7"/>
  <c r="L333" i="7"/>
  <c r="P332" i="7"/>
  <c r="O332" i="7"/>
  <c r="N329" i="7"/>
  <c r="M329" i="7"/>
  <c r="P329" i="7" s="1"/>
  <c r="L329" i="7"/>
  <c r="I327" i="7"/>
  <c r="I325" i="7"/>
  <c r="N323" i="7"/>
  <c r="M323" i="7"/>
  <c r="P323" i="7" s="1"/>
  <c r="L323" i="7"/>
  <c r="P322" i="7"/>
  <c r="O322" i="7"/>
  <c r="N320" i="7"/>
  <c r="N318" i="7" s="1"/>
  <c r="M320" i="7"/>
  <c r="L320" i="7"/>
  <c r="P319" i="7"/>
  <c r="O319" i="7"/>
  <c r="P316" i="7"/>
  <c r="N316" i="7"/>
  <c r="M316" i="7"/>
  <c r="L316" i="7"/>
  <c r="O316" i="7" s="1"/>
  <c r="J314" i="7"/>
  <c r="I312" i="7"/>
  <c r="K312" i="7" s="1"/>
  <c r="I311" i="7"/>
  <c r="K311" i="7" s="1"/>
  <c r="I310" i="7"/>
  <c r="K310" i="7" s="1"/>
  <c r="I309" i="7"/>
  <c r="N306" i="7"/>
  <c r="N304" i="7" s="1"/>
  <c r="M306" i="7"/>
  <c r="M304" i="7" s="1"/>
  <c r="P304" i="7" s="1"/>
  <c r="L306" i="7"/>
  <c r="L304" i="7" s="1"/>
  <c r="O304" i="7" s="1"/>
  <c r="P305" i="7"/>
  <c r="O305" i="7"/>
  <c r="N303" i="7"/>
  <c r="M303" i="7"/>
  <c r="L303" i="7"/>
  <c r="O303" i="7" s="1"/>
  <c r="P302" i="7"/>
  <c r="O302" i="7"/>
  <c r="P299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N285" i="7"/>
  <c r="M285" i="7"/>
  <c r="P285" i="7" s="1"/>
  <c r="L285" i="7"/>
  <c r="O285" i="7" s="1"/>
  <c r="P284" i="7"/>
  <c r="O284" i="7"/>
  <c r="N282" i="7"/>
  <c r="N280" i="7" s="1"/>
  <c r="M282" i="7"/>
  <c r="M280" i="7" s="1"/>
  <c r="L282" i="7"/>
  <c r="P281" i="7"/>
  <c r="O281" i="7"/>
  <c r="N278" i="7"/>
  <c r="M278" i="7"/>
  <c r="L278" i="7"/>
  <c r="O278" i="7" s="1"/>
  <c r="J276" i="7"/>
  <c r="I271" i="7"/>
  <c r="K271" i="7" s="1"/>
  <c r="N269" i="7"/>
  <c r="N267" i="7" s="1"/>
  <c r="M269" i="7"/>
  <c r="M267" i="7" s="1"/>
  <c r="P267" i="7" s="1"/>
  <c r="L269" i="7"/>
  <c r="P268" i="7"/>
  <c r="O268" i="7"/>
  <c r="N266" i="7"/>
  <c r="N264" i="7" s="1"/>
  <c r="M266" i="7"/>
  <c r="M264" i="7" s="1"/>
  <c r="L266" i="7"/>
  <c r="L264" i="7" s="1"/>
  <c r="P265" i="7"/>
  <c r="O265" i="7"/>
  <c r="N262" i="7"/>
  <c r="M262" i="7"/>
  <c r="L262" i="7"/>
  <c r="O262" i="7" s="1"/>
  <c r="J260" i="7"/>
  <c r="K258" i="7"/>
  <c r="K257" i="7"/>
  <c r="I255" i="7"/>
  <c r="L253" i="7"/>
  <c r="L252" i="7"/>
  <c r="L251" i="7"/>
  <c r="L250" i="7"/>
  <c r="P249" i="7"/>
  <c r="N249" i="7"/>
  <c r="J248" i="7"/>
  <c r="K247" i="7"/>
  <c r="K246" i="7"/>
  <c r="I244" i="7"/>
  <c r="K244" i="7" s="1"/>
  <c r="L242" i="7"/>
  <c r="L241" i="7"/>
  <c r="L240" i="7"/>
  <c r="L239" i="7"/>
  <c r="P238" i="7"/>
  <c r="N238" i="7"/>
  <c r="J237" i="7"/>
  <c r="K236" i="7"/>
  <c r="J236" i="7"/>
  <c r="I236" i="7"/>
  <c r="K235" i="7"/>
  <c r="J235" i="7"/>
  <c r="I235" i="7"/>
  <c r="J233" i="7"/>
  <c r="N231" i="7"/>
  <c r="N230" i="7"/>
  <c r="N229" i="7"/>
  <c r="N228" i="7"/>
  <c r="N227" i="7"/>
  <c r="J226" i="7"/>
  <c r="I225" i="7"/>
  <c r="I224" i="7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I190" i="7" s="1"/>
  <c r="K190" i="7" s="1"/>
  <c r="P191" i="7"/>
  <c r="L191" i="7"/>
  <c r="O191" i="7" s="1"/>
  <c r="J190" i="7"/>
  <c r="N189" i="7"/>
  <c r="M189" i="7"/>
  <c r="L189" i="7"/>
  <c r="O189" i="7" s="1"/>
  <c r="P188" i="7"/>
  <c r="O188" i="7"/>
  <c r="N186" i="7"/>
  <c r="M186" i="7"/>
  <c r="M184" i="7" s="1"/>
  <c r="L186" i="7"/>
  <c r="P185" i="7"/>
  <c r="O185" i="7"/>
  <c r="O182" i="7"/>
  <c r="N182" i="7"/>
  <c r="M182" i="7"/>
  <c r="P182" i="7" s="1"/>
  <c r="L182" i="7"/>
  <c r="J180" i="7"/>
  <c r="J177" i="7"/>
  <c r="I176" i="7"/>
  <c r="J174" i="7"/>
  <c r="N173" i="7"/>
  <c r="N171" i="7" s="1"/>
  <c r="M173" i="7"/>
  <c r="L173" i="7"/>
  <c r="L171" i="7" s="1"/>
  <c r="O171" i="7" s="1"/>
  <c r="P172" i="7"/>
  <c r="O172" i="7"/>
  <c r="N170" i="7"/>
  <c r="M170" i="7"/>
  <c r="M168" i="7" s="1"/>
  <c r="L170" i="7"/>
  <c r="L168" i="7" s="1"/>
  <c r="P169" i="7"/>
  <c r="O169" i="7"/>
  <c r="O166" i="7"/>
  <c r="N166" i="7"/>
  <c r="M166" i="7"/>
  <c r="L166" i="7"/>
  <c r="J164" i="7"/>
  <c r="I159" i="7"/>
  <c r="K159" i="7" s="1"/>
  <c r="N157" i="7"/>
  <c r="N155" i="7" s="1"/>
  <c r="M157" i="7"/>
  <c r="L157" i="7"/>
  <c r="O157" i="7" s="1"/>
  <c r="P156" i="7"/>
  <c r="O156" i="7"/>
  <c r="N154" i="7"/>
  <c r="M154" i="7"/>
  <c r="M152" i="7" s="1"/>
  <c r="P152" i="7" s="1"/>
  <c r="L154" i="7"/>
  <c r="O154" i="7" s="1"/>
  <c r="P153" i="7"/>
  <c r="O153" i="7"/>
  <c r="P150" i="7"/>
  <c r="N150" i="7"/>
  <c r="M150" i="7"/>
  <c r="L150" i="7"/>
  <c r="J148" i="7"/>
  <c r="I146" i="7"/>
  <c r="I130" i="7" s="1"/>
  <c r="K130" i="7" s="1"/>
  <c r="I145" i="7"/>
  <c r="K145" i="7" s="1"/>
  <c r="I144" i="7"/>
  <c r="N140" i="7"/>
  <c r="N138" i="7" s="1"/>
  <c r="M140" i="7"/>
  <c r="M138" i="7" s="1"/>
  <c r="L140" i="7"/>
  <c r="L138" i="7" s="1"/>
  <c r="P139" i="7"/>
  <c r="O139" i="7"/>
  <c r="N137" i="7"/>
  <c r="M137" i="7"/>
  <c r="L137" i="7"/>
  <c r="L135" i="7" s="1"/>
  <c r="P136" i="7"/>
  <c r="O136" i="7"/>
  <c r="P133" i="7"/>
  <c r="O133" i="7"/>
  <c r="N133" i="7"/>
  <c r="M133" i="7"/>
  <c r="L133" i="7"/>
  <c r="J130" i="7"/>
  <c r="N127" i="7"/>
  <c r="N125" i="7" s="1"/>
  <c r="M127" i="7"/>
  <c r="M125" i="7" s="1"/>
  <c r="L127" i="7"/>
  <c r="L125" i="7" s="1"/>
  <c r="P126" i="7"/>
  <c r="O126" i="7"/>
  <c r="N124" i="7"/>
  <c r="M124" i="7"/>
  <c r="L124" i="7"/>
  <c r="P123" i="7"/>
  <c r="O123" i="7"/>
  <c r="P120" i="7"/>
  <c r="O120" i="7"/>
  <c r="N120" i="7"/>
  <c r="M120" i="7"/>
  <c r="L120" i="7"/>
  <c r="K118" i="7"/>
  <c r="J118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J98" i="7"/>
  <c r="I98" i="7"/>
  <c r="K98" i="7" s="1"/>
  <c r="N96" i="7"/>
  <c r="N94" i="7" s="1"/>
  <c r="M96" i="7"/>
  <c r="M94" i="7" s="1"/>
  <c r="P94" i="7" s="1"/>
  <c r="L96" i="7"/>
  <c r="P95" i="7"/>
  <c r="O95" i="7"/>
  <c r="N93" i="7"/>
  <c r="M93" i="7"/>
  <c r="M91" i="7" s="1"/>
  <c r="L93" i="7"/>
  <c r="L91" i="7" s="1"/>
  <c r="P92" i="7"/>
  <c r="O92" i="7"/>
  <c r="N89" i="7"/>
  <c r="M89" i="7"/>
  <c r="L89" i="7"/>
  <c r="O89" i="7" s="1"/>
  <c r="J87" i="7"/>
  <c r="J86" i="7"/>
  <c r="I84" i="7"/>
  <c r="K84" i="7" s="1"/>
  <c r="I83" i="7"/>
  <c r="K83" i="7" s="1"/>
  <c r="I82" i="7"/>
  <c r="K82" i="7" s="1"/>
  <c r="I81" i="7"/>
  <c r="K81" i="7" s="1"/>
  <c r="I80" i="7"/>
  <c r="K80" i="7" s="1"/>
  <c r="I79" i="7"/>
  <c r="I78" i="7"/>
  <c r="K78" i="7" s="1"/>
  <c r="J77" i="7"/>
  <c r="J76" i="7"/>
  <c r="N74" i="7"/>
  <c r="N72" i="7" s="1"/>
  <c r="M74" i="7"/>
  <c r="M72" i="7" s="1"/>
  <c r="P72" i="7" s="1"/>
  <c r="L74" i="7"/>
  <c r="L72" i="7" s="1"/>
  <c r="O72" i="7" s="1"/>
  <c r="P73" i="7"/>
  <c r="O73" i="7"/>
  <c r="N71" i="7"/>
  <c r="N69" i="7" s="1"/>
  <c r="M71" i="7"/>
  <c r="L71" i="7"/>
  <c r="P70" i="7"/>
  <c r="O70" i="7"/>
  <c r="N67" i="7"/>
  <c r="M67" i="7"/>
  <c r="P67" i="7" s="1"/>
  <c r="L67" i="7"/>
  <c r="O67" i="7" s="1"/>
  <c r="J65" i="7"/>
  <c r="J64" i="7"/>
  <c r="N61" i="7"/>
  <c r="M61" i="7"/>
  <c r="M59" i="7" s="1"/>
  <c r="P59" i="7" s="1"/>
  <c r="L61" i="7"/>
  <c r="L59" i="7" s="1"/>
  <c r="O59" i="7" s="1"/>
  <c r="P60" i="7"/>
  <c r="O60" i="7"/>
  <c r="N58" i="7"/>
  <c r="N56" i="7" s="1"/>
  <c r="M58" i="7"/>
  <c r="L58" i="7"/>
  <c r="L56" i="7" s="1"/>
  <c r="P57" i="7"/>
  <c r="O57" i="7"/>
  <c r="N54" i="7"/>
  <c r="M54" i="7"/>
  <c r="P54" i="7" s="1"/>
  <c r="L54" i="7"/>
  <c r="O54" i="7" s="1"/>
  <c r="N49" i="7"/>
  <c r="N47" i="7" s="1"/>
  <c r="M49" i="7"/>
  <c r="P49" i="7" s="1"/>
  <c r="L49" i="7"/>
  <c r="P48" i="7"/>
  <c r="O48" i="7"/>
  <c r="N46" i="7"/>
  <c r="N44" i="7" s="1"/>
  <c r="M46" i="7"/>
  <c r="L46" i="7"/>
  <c r="P45" i="7"/>
  <c r="O45" i="7"/>
  <c r="P42" i="7"/>
  <c r="O42" i="7"/>
  <c r="N42" i="7"/>
  <c r="M42" i="7"/>
  <c r="L42" i="7"/>
  <c r="N36" i="7"/>
  <c r="N30" i="7" s="1"/>
  <c r="M36" i="7"/>
  <c r="P36" i="7" s="1"/>
  <c r="N35" i="7"/>
  <c r="M35" i="7"/>
  <c r="M15" i="7" s="1"/>
  <c r="L35" i="7"/>
  <c r="O35" i="7" s="1"/>
  <c r="P33" i="7"/>
  <c r="N33" i="7"/>
  <c r="M33" i="7"/>
  <c r="P32" i="7"/>
  <c r="O32" i="7"/>
  <c r="N32" i="7"/>
  <c r="N29" i="7" s="1"/>
  <c r="M32" i="7"/>
  <c r="L32" i="7"/>
  <c r="N31" i="7"/>
  <c r="M31" i="7"/>
  <c r="P31" i="7" s="1"/>
  <c r="M30" i="7"/>
  <c r="P30" i="7" s="1"/>
  <c r="L29" i="7"/>
  <c r="O29" i="7" s="1"/>
  <c r="P25" i="7"/>
  <c r="O25" i="7"/>
  <c r="N25" i="7"/>
  <c r="N15" i="7" s="1"/>
  <c r="M25" i="7"/>
  <c r="L25" i="7"/>
  <c r="N22" i="7"/>
  <c r="M22" i="7"/>
  <c r="L22" i="7"/>
  <c r="N19" i="7"/>
  <c r="L15" i="7"/>
  <c r="O15" i="7" s="1"/>
  <c r="N12" i="7"/>
  <c r="N9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P809" i="6"/>
  <c r="O809" i="6"/>
  <c r="P808" i="6"/>
  <c r="O808" i="6"/>
  <c r="N808" i="6"/>
  <c r="M808" i="6"/>
  <c r="L808" i="6"/>
  <c r="O807" i="6"/>
  <c r="N807" i="6"/>
  <c r="M807" i="6"/>
  <c r="P807" i="6" s="1"/>
  <c r="L807" i="6"/>
  <c r="N806" i="6"/>
  <c r="N805" i="6" s="1"/>
  <c r="M806" i="6"/>
  <c r="P806" i="6" s="1"/>
  <c r="L806" i="6"/>
  <c r="K804" i="6"/>
  <c r="J804" i="6"/>
  <c r="J803" i="6"/>
  <c r="I803" i="6"/>
  <c r="J802" i="6"/>
  <c r="J801" i="6"/>
  <c r="I801" i="6"/>
  <c r="J800" i="6"/>
  <c r="P798" i="6"/>
  <c r="O798" i="6"/>
  <c r="P797" i="6"/>
  <c r="O797" i="6"/>
  <c r="N796" i="6"/>
  <c r="M796" i="6"/>
  <c r="P796" i="6" s="1"/>
  <c r="L796" i="6"/>
  <c r="O796" i="6" s="1"/>
  <c r="P791" i="6"/>
  <c r="N791" i="6"/>
  <c r="L791" i="6"/>
  <c r="O791" i="6" s="1"/>
  <c r="P790" i="6"/>
  <c r="O790" i="6"/>
  <c r="N789" i="6"/>
  <c r="M789" i="6"/>
  <c r="P789" i="6" s="1"/>
  <c r="P788" i="6"/>
  <c r="N788" i="6"/>
  <c r="M788" i="6"/>
  <c r="P787" i="6"/>
  <c r="O787" i="6"/>
  <c r="N787" i="6"/>
  <c r="M787" i="6"/>
  <c r="L787" i="6"/>
  <c r="P786" i="6"/>
  <c r="N786" i="6"/>
  <c r="M786" i="6"/>
  <c r="P782" i="6"/>
  <c r="O782" i="6"/>
  <c r="P781" i="6"/>
  <c r="O781" i="6"/>
  <c r="P780" i="6"/>
  <c r="O780" i="6"/>
  <c r="N780" i="6"/>
  <c r="M780" i="6"/>
  <c r="L780" i="6"/>
  <c r="P775" i="6"/>
  <c r="O775" i="6"/>
  <c r="N775" i="6"/>
  <c r="N772" i="6" s="1"/>
  <c r="N770" i="6" s="1"/>
  <c r="P774" i="6"/>
  <c r="O774" i="6"/>
  <c r="M773" i="6"/>
  <c r="P773" i="6" s="1"/>
  <c r="L773" i="6"/>
  <c r="O773" i="6" s="1"/>
  <c r="M772" i="6"/>
  <c r="P772" i="6" s="1"/>
  <c r="L772" i="6"/>
  <c r="O772" i="6" s="1"/>
  <c r="P771" i="6"/>
  <c r="N771" i="6"/>
  <c r="M771" i="6"/>
  <c r="L771" i="6"/>
  <c r="O771" i="6" s="1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N756" i="6" s="1"/>
  <c r="N754" i="6" s="1"/>
  <c r="P758" i="6"/>
  <c r="O758" i="6"/>
  <c r="M757" i="6"/>
  <c r="P757" i="6" s="1"/>
  <c r="L757" i="6"/>
  <c r="O757" i="6" s="1"/>
  <c r="M756" i="6"/>
  <c r="P756" i="6" s="1"/>
  <c r="L756" i="6"/>
  <c r="O756" i="6" s="1"/>
  <c r="P755" i="6"/>
  <c r="N755" i="6"/>
  <c r="M755" i="6"/>
  <c r="L755" i="6"/>
  <c r="O755" i="6" s="1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N739" i="6" s="1"/>
  <c r="N737" i="6" s="1"/>
  <c r="P741" i="6"/>
  <c r="O741" i="6"/>
  <c r="M740" i="6"/>
  <c r="P740" i="6" s="1"/>
  <c r="L740" i="6"/>
  <c r="O740" i="6" s="1"/>
  <c r="M739" i="6"/>
  <c r="P739" i="6" s="1"/>
  <c r="L739" i="6"/>
  <c r="O739" i="6" s="1"/>
  <c r="P738" i="6"/>
  <c r="N738" i="6"/>
  <c r="M738" i="6"/>
  <c r="M737" i="6" s="1"/>
  <c r="P737" i="6" s="1"/>
  <c r="L738" i="6"/>
  <c r="O738" i="6" s="1"/>
  <c r="K736" i="6"/>
  <c r="J736" i="6"/>
  <c r="J729" i="6"/>
  <c r="I729" i="6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K699" i="6" s="1"/>
  <c r="P697" i="6"/>
  <c r="O697" i="6"/>
  <c r="P696" i="6"/>
  <c r="O696" i="6"/>
  <c r="P695" i="6"/>
  <c r="O695" i="6"/>
  <c r="N695" i="6"/>
  <c r="M695" i="6"/>
  <c r="L695" i="6"/>
  <c r="P690" i="6"/>
  <c r="N690" i="6"/>
  <c r="L690" i="6"/>
  <c r="O690" i="6" s="1"/>
  <c r="M688" i="6"/>
  <c r="P688" i="6" s="1"/>
  <c r="P687" i="6"/>
  <c r="M687" i="6"/>
  <c r="P686" i="6"/>
  <c r="O686" i="6"/>
  <c r="N686" i="6"/>
  <c r="M686" i="6"/>
  <c r="L686" i="6"/>
  <c r="P685" i="6"/>
  <c r="M685" i="6"/>
  <c r="J679" i="6"/>
  <c r="J678" i="6"/>
  <c r="I678" i="6"/>
  <c r="K678" i="6" s="1"/>
  <c r="J675" i="6"/>
  <c r="I671" i="6"/>
  <c r="K671" i="6" s="1"/>
  <c r="I670" i="6"/>
  <c r="K670" i="6" s="1"/>
  <c r="J669" i="6"/>
  <c r="J654" i="6" s="1"/>
  <c r="I669" i="6"/>
  <c r="K669" i="6" s="1"/>
  <c r="P667" i="6"/>
  <c r="O667" i="6"/>
  <c r="P666" i="6"/>
  <c r="O666" i="6"/>
  <c r="P665" i="6"/>
  <c r="O665" i="6"/>
  <c r="N665" i="6"/>
  <c r="M665" i="6"/>
  <c r="L665" i="6"/>
  <c r="P660" i="6"/>
  <c r="N660" i="6"/>
  <c r="N657" i="6" s="1"/>
  <c r="L660" i="6"/>
  <c r="L657" i="6" s="1"/>
  <c r="O657" i="6" s="1"/>
  <c r="P659" i="6"/>
  <c r="O659" i="6"/>
  <c r="P658" i="6"/>
  <c r="N658" i="6"/>
  <c r="M658" i="6"/>
  <c r="M657" i="6"/>
  <c r="P657" i="6" s="1"/>
  <c r="N656" i="6"/>
  <c r="M656" i="6"/>
  <c r="P656" i="6" s="1"/>
  <c r="L656" i="6"/>
  <c r="O656" i="6" s="1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N639" i="6"/>
  <c r="M639" i="6"/>
  <c r="P639" i="6" s="1"/>
  <c r="N638" i="6"/>
  <c r="N634" i="6" s="1"/>
  <c r="P634" i="6"/>
  <c r="L634" i="6"/>
  <c r="O634" i="6" s="1"/>
  <c r="P633" i="6"/>
  <c r="O633" i="6"/>
  <c r="M632" i="6"/>
  <c r="P632" i="6" s="1"/>
  <c r="P631" i="6"/>
  <c r="M631" i="6"/>
  <c r="P630" i="6"/>
  <c r="O630" i="6"/>
  <c r="N630" i="6"/>
  <c r="M630" i="6"/>
  <c r="L630" i="6"/>
  <c r="P629" i="6"/>
  <c r="M629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594" i="6" s="1"/>
  <c r="J603" i="6"/>
  <c r="J596" i="6"/>
  <c r="J595" i="6"/>
  <c r="I594" i="6"/>
  <c r="K594" i="6" s="1"/>
  <c r="J593" i="6"/>
  <c r="I593" i="6"/>
  <c r="I592" i="6" s="1"/>
  <c r="K592" i="6" s="1"/>
  <c r="J592" i="6"/>
  <c r="J583" i="6"/>
  <c r="J582" i="6"/>
  <c r="J577" i="6"/>
  <c r="I577" i="6"/>
  <c r="K577" i="6" s="1"/>
  <c r="J576" i="6"/>
  <c r="I576" i="6"/>
  <c r="K576" i="6" s="1"/>
  <c r="J569" i="6"/>
  <c r="I569" i="6"/>
  <c r="J568" i="6"/>
  <c r="I568" i="6"/>
  <c r="K568" i="6" s="1"/>
  <c r="J561" i="6"/>
  <c r="I561" i="6"/>
  <c r="K561" i="6" s="1"/>
  <c r="J560" i="6"/>
  <c r="I560" i="6"/>
  <c r="K560" i="6" s="1"/>
  <c r="J559" i="6"/>
  <c r="J543" i="6" s="1"/>
  <c r="P557" i="6"/>
  <c r="L557" i="6"/>
  <c r="O557" i="6" s="1"/>
  <c r="P556" i="6"/>
  <c r="O556" i="6"/>
  <c r="P555" i="6"/>
  <c r="N555" i="6"/>
  <c r="M555" i="6"/>
  <c r="N553" i="6"/>
  <c r="N552" i="6"/>
  <c r="N549" i="6" s="1"/>
  <c r="P549" i="6"/>
  <c r="L549" i="6"/>
  <c r="L547" i="6" s="1"/>
  <c r="P548" i="6"/>
  <c r="O548" i="6"/>
  <c r="P547" i="6"/>
  <c r="M547" i="6"/>
  <c r="P546" i="6"/>
  <c r="M546" i="6"/>
  <c r="P545" i="6"/>
  <c r="O545" i="6"/>
  <c r="N545" i="6"/>
  <c r="M545" i="6"/>
  <c r="L545" i="6"/>
  <c r="M544" i="6"/>
  <c r="P544" i="6" s="1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P535" i="6"/>
  <c r="L535" i="6"/>
  <c r="O535" i="6" s="1"/>
  <c r="P534" i="6"/>
  <c r="O534" i="6"/>
  <c r="P533" i="6"/>
  <c r="N533" i="6"/>
  <c r="M533" i="6"/>
  <c r="P528" i="6"/>
  <c r="N528" i="6"/>
  <c r="N525" i="6" s="1"/>
  <c r="L528" i="6"/>
  <c r="L526" i="6" s="1"/>
  <c r="O526" i="6" s="1"/>
  <c r="P527" i="6"/>
  <c r="O527" i="6"/>
  <c r="P526" i="6"/>
  <c r="N526" i="6"/>
  <c r="M526" i="6"/>
  <c r="M525" i="6"/>
  <c r="P525" i="6" s="1"/>
  <c r="N524" i="6"/>
  <c r="M524" i="6"/>
  <c r="L524" i="6"/>
  <c r="O524" i="6" s="1"/>
  <c r="K517" i="6"/>
  <c r="J517" i="6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N504" i="6" s="1"/>
  <c r="N502" i="6" s="1"/>
  <c r="P506" i="6"/>
  <c r="O506" i="6"/>
  <c r="N505" i="6"/>
  <c r="M505" i="6"/>
  <c r="P505" i="6" s="1"/>
  <c r="L505" i="6"/>
  <c r="O505" i="6" s="1"/>
  <c r="M504" i="6"/>
  <c r="P504" i="6" s="1"/>
  <c r="L504" i="6"/>
  <c r="O504" i="6" s="1"/>
  <c r="P503" i="6"/>
  <c r="N503" i="6"/>
  <c r="M503" i="6"/>
  <c r="L503" i="6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N477" i="6"/>
  <c r="M477" i="6"/>
  <c r="P477" i="6" s="1"/>
  <c r="N476" i="6"/>
  <c r="N475" i="6"/>
  <c r="N473" i="6"/>
  <c r="N472" i="6" s="1"/>
  <c r="P472" i="6"/>
  <c r="L472" i="6"/>
  <c r="L470" i="6" s="1"/>
  <c r="P471" i="6"/>
  <c r="O471" i="6"/>
  <c r="P470" i="6"/>
  <c r="M470" i="6"/>
  <c r="P469" i="6"/>
  <c r="M469" i="6"/>
  <c r="O468" i="6"/>
  <c r="N468" i="6"/>
  <c r="M468" i="6"/>
  <c r="P468" i="6" s="1"/>
  <c r="L468" i="6"/>
  <c r="M467" i="6"/>
  <c r="P467" i="6" s="1"/>
  <c r="J466" i="6"/>
  <c r="I466" i="6"/>
  <c r="K466" i="6" s="1"/>
  <c r="J465" i="6"/>
  <c r="I465" i="6"/>
  <c r="K465" i="6" s="1"/>
  <c r="I464" i="6"/>
  <c r="I463" i="6"/>
  <c r="I462" i="6"/>
  <c r="K462" i="6" s="1"/>
  <c r="I460" i="6"/>
  <c r="I442" i="6" s="1"/>
  <c r="K442" i="6" s="1"/>
  <c r="K458" i="6"/>
  <c r="P456" i="6"/>
  <c r="L456" i="6"/>
  <c r="O456" i="6" s="1"/>
  <c r="P455" i="6"/>
  <c r="O455" i="6"/>
  <c r="N454" i="6"/>
  <c r="M454" i="6"/>
  <c r="P454" i="6" s="1"/>
  <c r="N453" i="6"/>
  <c r="N449" i="6" s="1"/>
  <c r="P449" i="6"/>
  <c r="L449" i="6"/>
  <c r="P448" i="6"/>
  <c r="O448" i="6"/>
  <c r="M447" i="6"/>
  <c r="P447" i="6" s="1"/>
  <c r="P446" i="6"/>
  <c r="M446" i="6"/>
  <c r="P445" i="6"/>
  <c r="O445" i="6"/>
  <c r="N445" i="6"/>
  <c r="M445" i="6"/>
  <c r="L445" i="6"/>
  <c r="P444" i="6"/>
  <c r="M444" i="6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K435" i="6" s="1"/>
  <c r="J434" i="6"/>
  <c r="P431" i="6"/>
  <c r="L431" i="6"/>
  <c r="P430" i="6"/>
  <c r="O430" i="6"/>
  <c r="N429" i="6"/>
  <c r="M429" i="6"/>
  <c r="P429" i="6" s="1"/>
  <c r="N428" i="6"/>
  <c r="P424" i="6"/>
  <c r="N424" i="6"/>
  <c r="N421" i="6" s="1"/>
  <c r="N419" i="6" s="1"/>
  <c r="L424" i="6"/>
  <c r="P423" i="6"/>
  <c r="O423" i="6"/>
  <c r="N422" i="6"/>
  <c r="M422" i="6"/>
  <c r="P422" i="6" s="1"/>
  <c r="M421" i="6"/>
  <c r="P420" i="6"/>
  <c r="N420" i="6"/>
  <c r="M420" i="6"/>
  <c r="L420" i="6"/>
  <c r="J418" i="6"/>
  <c r="K413" i="6"/>
  <c r="K412" i="6"/>
  <c r="N410" i="6"/>
  <c r="N408" i="6" s="1"/>
  <c r="M410" i="6"/>
  <c r="P410" i="6" s="1"/>
  <c r="L410" i="6"/>
  <c r="O410" i="6" s="1"/>
  <c r="P409" i="6"/>
  <c r="O409" i="6"/>
  <c r="N407" i="6"/>
  <c r="N405" i="6" s="1"/>
  <c r="M407" i="6"/>
  <c r="P407" i="6" s="1"/>
  <c r="L407" i="6"/>
  <c r="O407" i="6" s="1"/>
  <c r="P406" i="6"/>
  <c r="O406" i="6"/>
  <c r="P403" i="6"/>
  <c r="O403" i="6"/>
  <c r="N403" i="6"/>
  <c r="M403" i="6"/>
  <c r="L403" i="6"/>
  <c r="J401" i="6"/>
  <c r="I401" i="6"/>
  <c r="K401" i="6" s="1"/>
  <c r="K400" i="6"/>
  <c r="K399" i="6"/>
  <c r="N397" i="6"/>
  <c r="N395" i="6" s="1"/>
  <c r="M397" i="6"/>
  <c r="P397" i="6" s="1"/>
  <c r="L397" i="6"/>
  <c r="O397" i="6" s="1"/>
  <c r="P396" i="6"/>
  <c r="O396" i="6"/>
  <c r="N394" i="6"/>
  <c r="N392" i="6" s="1"/>
  <c r="M394" i="6"/>
  <c r="L394" i="6"/>
  <c r="O394" i="6" s="1"/>
  <c r="P393" i="6"/>
  <c r="O393" i="6"/>
  <c r="P390" i="6"/>
  <c r="N390" i="6"/>
  <c r="M390" i="6"/>
  <c r="L390" i="6"/>
  <c r="J388" i="6"/>
  <c r="I388" i="6"/>
  <c r="K388" i="6" s="1"/>
  <c r="J385" i="6"/>
  <c r="I385" i="6"/>
  <c r="K382" i="6"/>
  <c r="J382" i="6"/>
  <c r="J381" i="6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L353" i="6"/>
  <c r="L351" i="6" s="1"/>
  <c r="P352" i="6"/>
  <c r="O352" i="6"/>
  <c r="N350" i="6"/>
  <c r="N348" i="6" s="1"/>
  <c r="M350" i="6"/>
  <c r="L350" i="6"/>
  <c r="P349" i="6"/>
  <c r="O349" i="6"/>
  <c r="P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O336" i="6" s="1"/>
  <c r="P335" i="6"/>
  <c r="O335" i="6"/>
  <c r="N333" i="6"/>
  <c r="M333" i="6"/>
  <c r="L333" i="6"/>
  <c r="L331" i="6" s="1"/>
  <c r="P332" i="6"/>
  <c r="O332" i="6"/>
  <c r="P329" i="6"/>
  <c r="N329" i="6"/>
  <c r="M329" i="6"/>
  <c r="L329" i="6"/>
  <c r="I327" i="6"/>
  <c r="I325" i="6"/>
  <c r="K325" i="6" s="1"/>
  <c r="N323" i="6"/>
  <c r="N321" i="6" s="1"/>
  <c r="M323" i="6"/>
  <c r="L323" i="6"/>
  <c r="L321" i="6" s="1"/>
  <c r="O321" i="6" s="1"/>
  <c r="P322" i="6"/>
  <c r="O322" i="6"/>
  <c r="N320" i="6"/>
  <c r="N318" i="6" s="1"/>
  <c r="M320" i="6"/>
  <c r="L320" i="6"/>
  <c r="L318" i="6" s="1"/>
  <c r="O318" i="6" s="1"/>
  <c r="P319" i="6"/>
  <c r="O319" i="6"/>
  <c r="N316" i="6"/>
  <c r="M316" i="6"/>
  <c r="P316" i="6" s="1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M304" i="6" s="1"/>
  <c r="P304" i="6" s="1"/>
  <c r="L306" i="6"/>
  <c r="O306" i="6" s="1"/>
  <c r="P305" i="6"/>
  <c r="O305" i="6"/>
  <c r="N303" i="6"/>
  <c r="M303" i="6"/>
  <c r="M301" i="6" s="1"/>
  <c r="L303" i="6"/>
  <c r="L301" i="6" s="1"/>
  <c r="P302" i="6"/>
  <c r="O302" i="6"/>
  <c r="P299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J288" i="6" s="1"/>
  <c r="I287" i="6"/>
  <c r="K287" i="6" s="1"/>
  <c r="N285" i="6"/>
  <c r="N283" i="6" s="1"/>
  <c r="M285" i="6"/>
  <c r="L285" i="6"/>
  <c r="O285" i="6" s="1"/>
  <c r="P284" i="6"/>
  <c r="O284" i="6"/>
  <c r="N282" i="6"/>
  <c r="N280" i="6" s="1"/>
  <c r="M282" i="6"/>
  <c r="L282" i="6"/>
  <c r="P281" i="6"/>
  <c r="O281" i="6"/>
  <c r="P278" i="6"/>
  <c r="O278" i="6"/>
  <c r="N278" i="6"/>
  <c r="M278" i="6"/>
  <c r="L278" i="6"/>
  <c r="J276" i="6"/>
  <c r="I271" i="6"/>
  <c r="K271" i="6" s="1"/>
  <c r="N269" i="6"/>
  <c r="N267" i="6" s="1"/>
  <c r="M269" i="6"/>
  <c r="M267" i="6" s="1"/>
  <c r="P267" i="6" s="1"/>
  <c r="L269" i="6"/>
  <c r="O269" i="6" s="1"/>
  <c r="P268" i="6"/>
  <c r="O268" i="6"/>
  <c r="N266" i="6"/>
  <c r="N264" i="6" s="1"/>
  <c r="M266" i="6"/>
  <c r="L266" i="6"/>
  <c r="P265" i="6"/>
  <c r="O265" i="6"/>
  <c r="P262" i="6"/>
  <c r="O262" i="6"/>
  <c r="N262" i="6"/>
  <c r="M262" i="6"/>
  <c r="L262" i="6"/>
  <c r="J260" i="6"/>
  <c r="K258" i="6"/>
  <c r="K257" i="6"/>
  <c r="I255" i="6"/>
  <c r="I248" i="6" s="1"/>
  <c r="K248" i="6" s="1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N227" i="6" s="1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J226" i="6"/>
  <c r="I225" i="6"/>
  <c r="K225" i="6" s="1"/>
  <c r="I224" i="6"/>
  <c r="I216" i="6" s="1"/>
  <c r="K216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M187" i="6" s="1"/>
  <c r="P187" i="6" s="1"/>
  <c r="L189" i="6"/>
  <c r="L187" i="6" s="1"/>
  <c r="O187" i="6" s="1"/>
  <c r="P188" i="6"/>
  <c r="O188" i="6"/>
  <c r="N186" i="6"/>
  <c r="N184" i="6" s="1"/>
  <c r="M186" i="6"/>
  <c r="M184" i="6" s="1"/>
  <c r="L186" i="6"/>
  <c r="L184" i="6" s="1"/>
  <c r="P185" i="6"/>
  <c r="O185" i="6"/>
  <c r="N182" i="6"/>
  <c r="M182" i="6"/>
  <c r="P182" i="6" s="1"/>
  <c r="L182" i="6"/>
  <c r="J180" i="6"/>
  <c r="J177" i="6"/>
  <c r="I176" i="6"/>
  <c r="I174" i="6" s="1"/>
  <c r="I164" i="6" s="1"/>
  <c r="J174" i="6"/>
  <c r="N173" i="6"/>
  <c r="N171" i="6" s="1"/>
  <c r="M173" i="6"/>
  <c r="M171" i="6" s="1"/>
  <c r="P171" i="6" s="1"/>
  <c r="L173" i="6"/>
  <c r="L171" i="6" s="1"/>
  <c r="O171" i="6" s="1"/>
  <c r="P172" i="6"/>
  <c r="O172" i="6"/>
  <c r="N170" i="6"/>
  <c r="N168" i="6" s="1"/>
  <c r="M170" i="6"/>
  <c r="M168" i="6" s="1"/>
  <c r="L170" i="6"/>
  <c r="L168" i="6" s="1"/>
  <c r="P169" i="6"/>
  <c r="O169" i="6"/>
  <c r="N166" i="6"/>
  <c r="M166" i="6"/>
  <c r="P166" i="6" s="1"/>
  <c r="L166" i="6"/>
  <c r="J164" i="6"/>
  <c r="I159" i="6"/>
  <c r="I148" i="6" s="1"/>
  <c r="K148" i="6" s="1"/>
  <c r="N157" i="6"/>
  <c r="N155" i="6" s="1"/>
  <c r="M157" i="6"/>
  <c r="L157" i="6"/>
  <c r="O157" i="6" s="1"/>
  <c r="P156" i="6"/>
  <c r="O156" i="6"/>
  <c r="N154" i="6"/>
  <c r="N152" i="6" s="1"/>
  <c r="M154" i="6"/>
  <c r="M152" i="6" s="1"/>
  <c r="L154" i="6"/>
  <c r="L152" i="6" s="1"/>
  <c r="P153" i="6"/>
  <c r="O153" i="6"/>
  <c r="P150" i="6"/>
  <c r="O150" i="6"/>
  <c r="N150" i="6"/>
  <c r="M150" i="6"/>
  <c r="L150" i="6"/>
  <c r="J148" i="6"/>
  <c r="I146" i="6"/>
  <c r="I130" i="6" s="1"/>
  <c r="K130" i="6" s="1"/>
  <c r="I145" i="6"/>
  <c r="I143" i="6" s="1"/>
  <c r="I131" i="6" s="1"/>
  <c r="I144" i="6"/>
  <c r="K144" i="6" s="1"/>
  <c r="N140" i="6"/>
  <c r="M140" i="6"/>
  <c r="M138" i="6" s="1"/>
  <c r="L140" i="6"/>
  <c r="P139" i="6"/>
  <c r="O139" i="6"/>
  <c r="N137" i="6"/>
  <c r="N135" i="6" s="1"/>
  <c r="M137" i="6"/>
  <c r="M135" i="6" s="1"/>
  <c r="L137" i="6"/>
  <c r="L135" i="6" s="1"/>
  <c r="P136" i="6"/>
  <c r="O136" i="6"/>
  <c r="N133" i="6"/>
  <c r="M133" i="6"/>
  <c r="L133" i="6"/>
  <c r="O133" i="6" s="1"/>
  <c r="J130" i="6"/>
  <c r="N127" i="6"/>
  <c r="N125" i="6" s="1"/>
  <c r="M127" i="6"/>
  <c r="P127" i="6" s="1"/>
  <c r="L127" i="6"/>
  <c r="P126" i="6"/>
  <c r="O126" i="6"/>
  <c r="N124" i="6"/>
  <c r="N122" i="6" s="1"/>
  <c r="M124" i="6"/>
  <c r="P124" i="6" s="1"/>
  <c r="L124" i="6"/>
  <c r="O124" i="6" s="1"/>
  <c r="P123" i="6"/>
  <c r="O123" i="6"/>
  <c r="O120" i="6"/>
  <c r="N120" i="6"/>
  <c r="M120" i="6"/>
  <c r="L120" i="6"/>
  <c r="J118" i="6"/>
  <c r="K118" i="6" s="1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J87" i="6" s="1"/>
  <c r="I99" i="6"/>
  <c r="J98" i="6"/>
  <c r="I98" i="6"/>
  <c r="I86" i="6" s="1"/>
  <c r="N96" i="6"/>
  <c r="N94" i="6" s="1"/>
  <c r="M96" i="6"/>
  <c r="P96" i="6" s="1"/>
  <c r="L96" i="6"/>
  <c r="O96" i="6" s="1"/>
  <c r="P95" i="6"/>
  <c r="O95" i="6"/>
  <c r="N93" i="6"/>
  <c r="N91" i="6" s="1"/>
  <c r="M93" i="6"/>
  <c r="M91" i="6" s="1"/>
  <c r="L93" i="6"/>
  <c r="P92" i="6"/>
  <c r="O92" i="6"/>
  <c r="O89" i="6"/>
  <c r="N89" i="6"/>
  <c r="M89" i="6"/>
  <c r="L89" i="6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K78" i="6" s="1"/>
  <c r="J77" i="6"/>
  <c r="J65" i="6" s="1"/>
  <c r="J76" i="6"/>
  <c r="N74" i="6"/>
  <c r="N72" i="6" s="1"/>
  <c r="M74" i="6"/>
  <c r="L74" i="6"/>
  <c r="O74" i="6" s="1"/>
  <c r="P73" i="6"/>
  <c r="O73" i="6"/>
  <c r="N71" i="6"/>
  <c r="M71" i="6"/>
  <c r="M69" i="6" s="1"/>
  <c r="L71" i="6"/>
  <c r="L69" i="6" s="1"/>
  <c r="P70" i="6"/>
  <c r="O70" i="6"/>
  <c r="O67" i="6"/>
  <c r="N67" i="6"/>
  <c r="M67" i="6"/>
  <c r="P67" i="6" s="1"/>
  <c r="L67" i="6"/>
  <c r="J64" i="6"/>
  <c r="N61" i="6"/>
  <c r="N59" i="6" s="1"/>
  <c r="M61" i="6"/>
  <c r="L61" i="6"/>
  <c r="O61" i="6" s="1"/>
  <c r="P60" i="6"/>
  <c r="O60" i="6"/>
  <c r="N58" i="6"/>
  <c r="M58" i="6"/>
  <c r="L58" i="6"/>
  <c r="L56" i="6" s="1"/>
  <c r="P57" i="6"/>
  <c r="O57" i="6"/>
  <c r="P54" i="6"/>
  <c r="O54" i="6"/>
  <c r="N54" i="6"/>
  <c r="M54" i="6"/>
  <c r="L54" i="6"/>
  <c r="N49" i="6"/>
  <c r="N47" i="6" s="1"/>
  <c r="M49" i="6"/>
  <c r="L49" i="6"/>
  <c r="O49" i="6" s="1"/>
  <c r="P48" i="6"/>
  <c r="O48" i="6"/>
  <c r="N46" i="6"/>
  <c r="N44" i="6" s="1"/>
  <c r="M46" i="6"/>
  <c r="L46" i="6"/>
  <c r="L44" i="6" s="1"/>
  <c r="P45" i="6"/>
  <c r="O45" i="6"/>
  <c r="P42" i="6"/>
  <c r="O42" i="6"/>
  <c r="N42" i="6"/>
  <c r="M42" i="6"/>
  <c r="L42" i="6"/>
  <c r="P36" i="6"/>
  <c r="N36" i="6"/>
  <c r="M36" i="6"/>
  <c r="P35" i="6"/>
  <c r="O35" i="6"/>
  <c r="N35" i="6"/>
  <c r="N34" i="6" s="1"/>
  <c r="M35" i="6"/>
  <c r="L35" i="6"/>
  <c r="M34" i="6"/>
  <c r="P34" i="6" s="1"/>
  <c r="N33" i="6"/>
  <c r="N30" i="6" s="1"/>
  <c r="M33" i="6"/>
  <c r="P33" i="6" s="1"/>
  <c r="N32" i="6"/>
  <c r="N31" i="6" s="1"/>
  <c r="M32" i="6"/>
  <c r="L32" i="6"/>
  <c r="O32" i="6" s="1"/>
  <c r="N25" i="6"/>
  <c r="M25" i="6"/>
  <c r="L25" i="6"/>
  <c r="O25" i="6" s="1"/>
  <c r="P22" i="6"/>
  <c r="O22" i="6"/>
  <c r="N22" i="6"/>
  <c r="N12" i="6" s="1"/>
  <c r="M22" i="6"/>
  <c r="L22" i="6"/>
  <c r="N19" i="6"/>
  <c r="M19" i="6"/>
  <c r="P19" i="6" s="1"/>
  <c r="L19" i="6"/>
  <c r="O19" i="6" s="1"/>
  <c r="N15" i="6"/>
  <c r="L12" i="6"/>
  <c r="O12" i="6" s="1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N807" i="5" s="1"/>
  <c r="N805" i="5" s="1"/>
  <c r="P809" i="5"/>
  <c r="O809" i="5"/>
  <c r="P808" i="5"/>
  <c r="O808" i="5"/>
  <c r="N808" i="5"/>
  <c r="M808" i="5"/>
  <c r="L808" i="5"/>
  <c r="O807" i="5"/>
  <c r="M807" i="5"/>
  <c r="L807" i="5"/>
  <c r="N806" i="5"/>
  <c r="M806" i="5"/>
  <c r="P806" i="5" s="1"/>
  <c r="L806" i="5"/>
  <c r="K804" i="5"/>
  <c r="J804" i="5"/>
  <c r="K802" i="5"/>
  <c r="J801" i="5"/>
  <c r="J785" i="5" s="1"/>
  <c r="J800" i="5"/>
  <c r="I800" i="5"/>
  <c r="P798" i="5"/>
  <c r="O798" i="5"/>
  <c r="P797" i="5"/>
  <c r="O797" i="5"/>
  <c r="P796" i="5"/>
  <c r="O796" i="5"/>
  <c r="N796" i="5"/>
  <c r="M796" i="5"/>
  <c r="L796" i="5"/>
  <c r="P791" i="5"/>
  <c r="N791" i="5"/>
  <c r="N788" i="5" s="1"/>
  <c r="N786" i="5" s="1"/>
  <c r="L791" i="5"/>
  <c r="L789" i="5" s="1"/>
  <c r="O789" i="5" s="1"/>
  <c r="P790" i="5"/>
  <c r="O790" i="5"/>
  <c r="P789" i="5"/>
  <c r="M789" i="5"/>
  <c r="M788" i="5"/>
  <c r="N787" i="5"/>
  <c r="M787" i="5"/>
  <c r="P787" i="5" s="1"/>
  <c r="L787" i="5"/>
  <c r="P782" i="5"/>
  <c r="O782" i="5"/>
  <c r="P781" i="5"/>
  <c r="O781" i="5"/>
  <c r="N780" i="5"/>
  <c r="M780" i="5"/>
  <c r="P780" i="5" s="1"/>
  <c r="L780" i="5"/>
  <c r="O780" i="5" s="1"/>
  <c r="P775" i="5"/>
  <c r="O775" i="5"/>
  <c r="N775" i="5"/>
  <c r="P774" i="5"/>
  <c r="O774" i="5"/>
  <c r="O773" i="5"/>
  <c r="N773" i="5"/>
  <c r="M773" i="5"/>
  <c r="P773" i="5" s="1"/>
  <c r="L773" i="5"/>
  <c r="P772" i="5"/>
  <c r="N772" i="5"/>
  <c r="N770" i="5" s="1"/>
  <c r="M772" i="5"/>
  <c r="L772" i="5"/>
  <c r="O772" i="5" s="1"/>
  <c r="O771" i="5"/>
  <c r="N771" i="5"/>
  <c r="M771" i="5"/>
  <c r="L771" i="5"/>
  <c r="L770" i="5"/>
  <c r="O770" i="5" s="1"/>
  <c r="K769" i="5"/>
  <c r="J769" i="5"/>
  <c r="P766" i="5"/>
  <c r="O766" i="5"/>
  <c r="P765" i="5"/>
  <c r="O765" i="5"/>
  <c r="N764" i="5"/>
  <c r="M764" i="5"/>
  <c r="P764" i="5" s="1"/>
  <c r="L764" i="5"/>
  <c r="O764" i="5" s="1"/>
  <c r="P759" i="5"/>
  <c r="O759" i="5"/>
  <c r="N759" i="5"/>
  <c r="P758" i="5"/>
  <c r="O758" i="5"/>
  <c r="O757" i="5"/>
  <c r="N757" i="5"/>
  <c r="M757" i="5"/>
  <c r="P757" i="5" s="1"/>
  <c r="L757" i="5"/>
  <c r="P756" i="5"/>
  <c r="N756" i="5"/>
  <c r="N754" i="5" s="1"/>
  <c r="M756" i="5"/>
  <c r="L756" i="5"/>
  <c r="O756" i="5" s="1"/>
  <c r="O755" i="5"/>
  <c r="N755" i="5"/>
  <c r="M755" i="5"/>
  <c r="L755" i="5"/>
  <c r="L754" i="5"/>
  <c r="O754" i="5" s="1"/>
  <c r="K753" i="5"/>
  <c r="J753" i="5"/>
  <c r="P749" i="5"/>
  <c r="O749" i="5"/>
  <c r="P748" i="5"/>
  <c r="O748" i="5"/>
  <c r="N747" i="5"/>
  <c r="M747" i="5"/>
  <c r="P747" i="5" s="1"/>
  <c r="L747" i="5"/>
  <c r="O747" i="5" s="1"/>
  <c r="P742" i="5"/>
  <c r="O742" i="5"/>
  <c r="N742" i="5"/>
  <c r="P741" i="5"/>
  <c r="O741" i="5"/>
  <c r="O740" i="5"/>
  <c r="N740" i="5"/>
  <c r="M740" i="5"/>
  <c r="P740" i="5" s="1"/>
  <c r="L740" i="5"/>
  <c r="P739" i="5"/>
  <c r="N739" i="5"/>
  <c r="N737" i="5" s="1"/>
  <c r="M739" i="5"/>
  <c r="L739" i="5"/>
  <c r="O739" i="5" s="1"/>
  <c r="O738" i="5"/>
  <c r="N738" i="5"/>
  <c r="M738" i="5"/>
  <c r="L738" i="5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N695" i="5"/>
  <c r="M695" i="5"/>
  <c r="P695" i="5" s="1"/>
  <c r="L695" i="5"/>
  <c r="O695" i="5" s="1"/>
  <c r="P690" i="5"/>
  <c r="N690" i="5"/>
  <c r="L690" i="5"/>
  <c r="O690" i="5" s="1"/>
  <c r="P688" i="5"/>
  <c r="N688" i="5"/>
  <c r="M688" i="5"/>
  <c r="N687" i="5"/>
  <c r="M687" i="5"/>
  <c r="N686" i="5"/>
  <c r="M686" i="5"/>
  <c r="P686" i="5" s="1"/>
  <c r="L686" i="5"/>
  <c r="N685" i="5"/>
  <c r="J679" i="5"/>
  <c r="J678" i="5" s="1"/>
  <c r="I678" i="5"/>
  <c r="K678" i="5" s="1"/>
  <c r="J675" i="5"/>
  <c r="I671" i="5"/>
  <c r="K671" i="5" s="1"/>
  <c r="I670" i="5"/>
  <c r="K670" i="5" s="1"/>
  <c r="J669" i="5"/>
  <c r="I669" i="5"/>
  <c r="K673" i="5" s="1"/>
  <c r="P667" i="5"/>
  <c r="O667" i="5"/>
  <c r="P666" i="5"/>
  <c r="O666" i="5"/>
  <c r="N665" i="5"/>
  <c r="M665" i="5"/>
  <c r="P665" i="5" s="1"/>
  <c r="L665" i="5"/>
  <c r="O665" i="5" s="1"/>
  <c r="P660" i="5"/>
  <c r="N660" i="5"/>
  <c r="N657" i="5" s="1"/>
  <c r="N655" i="5" s="1"/>
  <c r="L660" i="5"/>
  <c r="O660" i="5" s="1"/>
  <c r="P659" i="5"/>
  <c r="O659" i="5"/>
  <c r="N658" i="5"/>
  <c r="M658" i="5"/>
  <c r="P658" i="5" s="1"/>
  <c r="P657" i="5"/>
  <c r="M657" i="5"/>
  <c r="M655" i="5" s="1"/>
  <c r="P655" i="5" s="1"/>
  <c r="O656" i="5"/>
  <c r="N656" i="5"/>
  <c r="M656" i="5"/>
  <c r="P656" i="5" s="1"/>
  <c r="L656" i="5"/>
  <c r="J654" i="5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L639" i="5" s="1"/>
  <c r="O639" i="5" s="1"/>
  <c r="P640" i="5"/>
  <c r="O640" i="5"/>
  <c r="P639" i="5"/>
  <c r="N639" i="5"/>
  <c r="M639" i="5"/>
  <c r="P634" i="5"/>
  <c r="N634" i="5"/>
  <c r="L634" i="5"/>
  <c r="P633" i="5"/>
  <c r="O633" i="5"/>
  <c r="N632" i="5"/>
  <c r="M632" i="5"/>
  <c r="P632" i="5" s="1"/>
  <c r="N631" i="5"/>
  <c r="M631" i="5"/>
  <c r="P631" i="5" s="1"/>
  <c r="N630" i="5"/>
  <c r="N629" i="5" s="1"/>
  <c r="M630" i="5"/>
  <c r="P630" i="5" s="1"/>
  <c r="L630" i="5"/>
  <c r="O630" i="5" s="1"/>
  <c r="P629" i="5"/>
  <c r="M629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3" i="5" s="1"/>
  <c r="J596" i="5"/>
  <c r="J594" i="5" s="1"/>
  <c r="J595" i="5"/>
  <c r="I594" i="5"/>
  <c r="I593" i="5"/>
  <c r="I592" i="5" s="1"/>
  <c r="J583" i="5"/>
  <c r="J582" i="5"/>
  <c r="J577" i="5"/>
  <c r="I577" i="5"/>
  <c r="J576" i="5"/>
  <c r="I576" i="5"/>
  <c r="K576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J559" i="5"/>
  <c r="J543" i="5" s="1"/>
  <c r="P557" i="5"/>
  <c r="L557" i="5"/>
  <c r="L555" i="5" s="1"/>
  <c r="O555" i="5" s="1"/>
  <c r="P556" i="5"/>
  <c r="O556" i="5"/>
  <c r="P555" i="5"/>
  <c r="N555" i="5"/>
  <c r="M555" i="5"/>
  <c r="M545" i="5" s="1"/>
  <c r="P545" i="5" s="1"/>
  <c r="R553" i="5"/>
  <c r="P549" i="5"/>
  <c r="N549" i="5"/>
  <c r="N546" i="5" s="1"/>
  <c r="L549" i="5"/>
  <c r="O549" i="5" s="1"/>
  <c r="P548" i="5"/>
  <c r="O548" i="5"/>
  <c r="P547" i="5"/>
  <c r="N547" i="5"/>
  <c r="M547" i="5"/>
  <c r="P546" i="5"/>
  <c r="M546" i="5"/>
  <c r="O545" i="5"/>
  <c r="N545" i="5"/>
  <c r="N544" i="5" s="1"/>
  <c r="L545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P535" i="5"/>
  <c r="L535" i="5"/>
  <c r="O535" i="5" s="1"/>
  <c r="P534" i="5"/>
  <c r="O534" i="5"/>
  <c r="P533" i="5"/>
  <c r="N533" i="5"/>
  <c r="M533" i="5"/>
  <c r="P528" i="5"/>
  <c r="N528" i="5"/>
  <c r="N526" i="5" s="1"/>
  <c r="L528" i="5"/>
  <c r="O528" i="5" s="1"/>
  <c r="P527" i="5"/>
  <c r="O527" i="5"/>
  <c r="M526" i="5"/>
  <c r="P526" i="5" s="1"/>
  <c r="N525" i="5"/>
  <c r="N523" i="5" s="1"/>
  <c r="M525" i="5"/>
  <c r="P525" i="5" s="1"/>
  <c r="N524" i="5"/>
  <c r="M524" i="5"/>
  <c r="L524" i="5"/>
  <c r="O524" i="5" s="1"/>
  <c r="K517" i="5"/>
  <c r="J517" i="5"/>
  <c r="K516" i="5"/>
  <c r="P514" i="5"/>
  <c r="O514" i="5"/>
  <c r="P513" i="5"/>
  <c r="O513" i="5"/>
  <c r="O512" i="5"/>
  <c r="N512" i="5"/>
  <c r="M512" i="5"/>
  <c r="P512" i="5" s="1"/>
  <c r="L512" i="5"/>
  <c r="P507" i="5"/>
  <c r="O507" i="5"/>
  <c r="N507" i="5"/>
  <c r="P506" i="5"/>
  <c r="O506" i="5"/>
  <c r="M505" i="5"/>
  <c r="P505" i="5" s="1"/>
  <c r="L505" i="5"/>
  <c r="O505" i="5" s="1"/>
  <c r="P504" i="5"/>
  <c r="M504" i="5"/>
  <c r="L504" i="5"/>
  <c r="P503" i="5"/>
  <c r="O503" i="5"/>
  <c r="N503" i="5"/>
  <c r="M503" i="5"/>
  <c r="L503" i="5"/>
  <c r="P502" i="5"/>
  <c r="M502" i="5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N477" i="5"/>
  <c r="M477" i="5"/>
  <c r="P477" i="5" s="1"/>
  <c r="P472" i="5"/>
  <c r="N472" i="5"/>
  <c r="L472" i="5"/>
  <c r="P471" i="5"/>
  <c r="O471" i="5"/>
  <c r="N470" i="5"/>
  <c r="M470" i="5"/>
  <c r="P470" i="5" s="1"/>
  <c r="N469" i="5"/>
  <c r="M469" i="5"/>
  <c r="P469" i="5" s="1"/>
  <c r="P468" i="5"/>
  <c r="N468" i="5"/>
  <c r="N467" i="5" s="1"/>
  <c r="M468" i="5"/>
  <c r="L468" i="5"/>
  <c r="O468" i="5" s="1"/>
  <c r="P467" i="5"/>
  <c r="M467" i="5"/>
  <c r="J466" i="5"/>
  <c r="I466" i="5"/>
  <c r="J465" i="5"/>
  <c r="I465" i="5"/>
  <c r="K465" i="5" s="1"/>
  <c r="I464" i="5"/>
  <c r="I463" i="5"/>
  <c r="I462" i="5"/>
  <c r="I443" i="5" s="1"/>
  <c r="K443" i="5" s="1"/>
  <c r="I460" i="5"/>
  <c r="I442" i="5" s="1"/>
  <c r="K442" i="5" s="1"/>
  <c r="K458" i="5"/>
  <c r="P456" i="5"/>
  <c r="L456" i="5"/>
  <c r="P455" i="5"/>
  <c r="O455" i="5"/>
  <c r="N454" i="5"/>
  <c r="M454" i="5"/>
  <c r="P454" i="5" s="1"/>
  <c r="P449" i="5"/>
  <c r="N449" i="5"/>
  <c r="N446" i="5" s="1"/>
  <c r="L449" i="5"/>
  <c r="P448" i="5"/>
  <c r="O448" i="5"/>
  <c r="N447" i="5"/>
  <c r="M447" i="5"/>
  <c r="P447" i="5" s="1"/>
  <c r="P446" i="5"/>
  <c r="M446" i="5"/>
  <c r="M444" i="5" s="1"/>
  <c r="P445" i="5"/>
  <c r="O445" i="5"/>
  <c r="N445" i="5"/>
  <c r="M445" i="5"/>
  <c r="L445" i="5"/>
  <c r="P444" i="5"/>
  <c r="N444" i="5"/>
  <c r="J443" i="5"/>
  <c r="J442" i="5"/>
  <c r="I441" i="5"/>
  <c r="K441" i="5" s="1"/>
  <c r="I440" i="5"/>
  <c r="K440" i="5" s="1"/>
  <c r="I439" i="5"/>
  <c r="K439" i="5" s="1"/>
  <c r="I438" i="5"/>
  <c r="I437" i="5"/>
  <c r="I435" i="5"/>
  <c r="I433" i="5" s="1"/>
  <c r="I417" i="5" s="1"/>
  <c r="J434" i="5"/>
  <c r="P431" i="5"/>
  <c r="L431" i="5"/>
  <c r="O431" i="5" s="1"/>
  <c r="P430" i="5"/>
  <c r="O430" i="5"/>
  <c r="N429" i="5"/>
  <c r="M429" i="5"/>
  <c r="P429" i="5" s="1"/>
  <c r="P424" i="5"/>
  <c r="N424" i="5"/>
  <c r="N421" i="5" s="1"/>
  <c r="L424" i="5"/>
  <c r="P423" i="5"/>
  <c r="O423" i="5"/>
  <c r="M422" i="5"/>
  <c r="P422" i="5" s="1"/>
  <c r="M421" i="5"/>
  <c r="P421" i="5" s="1"/>
  <c r="O420" i="5"/>
  <c r="N420" i="5"/>
  <c r="N419" i="5" s="1"/>
  <c r="M420" i="5"/>
  <c r="P420" i="5" s="1"/>
  <c r="L420" i="5"/>
  <c r="M419" i="5"/>
  <c r="P419" i="5" s="1"/>
  <c r="J418" i="5"/>
  <c r="K413" i="5"/>
  <c r="K412" i="5"/>
  <c r="N410" i="5"/>
  <c r="N408" i="5" s="1"/>
  <c r="M410" i="5"/>
  <c r="M408" i="5" s="1"/>
  <c r="P408" i="5" s="1"/>
  <c r="L410" i="5"/>
  <c r="O410" i="5" s="1"/>
  <c r="P409" i="5"/>
  <c r="O409" i="5"/>
  <c r="N407" i="5"/>
  <c r="N405" i="5" s="1"/>
  <c r="M407" i="5"/>
  <c r="M405" i="5" s="1"/>
  <c r="P405" i="5" s="1"/>
  <c r="L407" i="5"/>
  <c r="O407" i="5" s="1"/>
  <c r="P406" i="5"/>
  <c r="O406" i="5"/>
  <c r="P403" i="5"/>
  <c r="N403" i="5"/>
  <c r="M403" i="5"/>
  <c r="L403" i="5"/>
  <c r="K401" i="5"/>
  <c r="J401" i="5"/>
  <c r="I401" i="5"/>
  <c r="K400" i="5"/>
  <c r="K399" i="5"/>
  <c r="N397" i="5"/>
  <c r="N395" i="5" s="1"/>
  <c r="M397" i="5"/>
  <c r="P397" i="5" s="1"/>
  <c r="L397" i="5"/>
  <c r="L395" i="5" s="1"/>
  <c r="O395" i="5" s="1"/>
  <c r="P396" i="5"/>
  <c r="O396" i="5"/>
  <c r="N394" i="5"/>
  <c r="N392" i="5" s="1"/>
  <c r="M394" i="5"/>
  <c r="P394" i="5" s="1"/>
  <c r="L394" i="5"/>
  <c r="P393" i="5"/>
  <c r="O393" i="5"/>
  <c r="O390" i="5"/>
  <c r="N390" i="5"/>
  <c r="M390" i="5"/>
  <c r="P390" i="5" s="1"/>
  <c r="L390" i="5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M351" i="5" s="1"/>
  <c r="L353" i="5"/>
  <c r="L351" i="5" s="1"/>
  <c r="P352" i="5"/>
  <c r="O352" i="5"/>
  <c r="N350" i="5"/>
  <c r="N348" i="5" s="1"/>
  <c r="M350" i="5"/>
  <c r="L350" i="5"/>
  <c r="L348" i="5" s="1"/>
  <c r="P349" i="5"/>
  <c r="O349" i="5"/>
  <c r="O346" i="5"/>
  <c r="N346" i="5"/>
  <c r="M346" i="5"/>
  <c r="P346" i="5" s="1"/>
  <c r="L346" i="5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L334" i="5" s="1"/>
  <c r="O334" i="5" s="1"/>
  <c r="P335" i="5"/>
  <c r="O335" i="5"/>
  <c r="N333" i="5"/>
  <c r="N331" i="5" s="1"/>
  <c r="M333" i="5"/>
  <c r="L333" i="5"/>
  <c r="P332" i="5"/>
  <c r="O332" i="5"/>
  <c r="N329" i="5"/>
  <c r="M329" i="5"/>
  <c r="P329" i="5" s="1"/>
  <c r="L329" i="5"/>
  <c r="I327" i="5"/>
  <c r="I325" i="5"/>
  <c r="K325" i="5" s="1"/>
  <c r="N323" i="5"/>
  <c r="N321" i="5" s="1"/>
  <c r="M323" i="5"/>
  <c r="P323" i="5" s="1"/>
  <c r="L323" i="5"/>
  <c r="P322" i="5"/>
  <c r="O322" i="5"/>
  <c r="N320" i="5"/>
  <c r="N318" i="5" s="1"/>
  <c r="M320" i="5"/>
  <c r="P320" i="5" s="1"/>
  <c r="L320" i="5"/>
  <c r="P319" i="5"/>
  <c r="O319" i="5"/>
  <c r="P316" i="5"/>
  <c r="N316" i="5"/>
  <c r="M316" i="5"/>
  <c r="L316" i="5"/>
  <c r="O316" i="5" s="1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L306" i="5"/>
  <c r="L304" i="5" s="1"/>
  <c r="O304" i="5" s="1"/>
  <c r="P305" i="5"/>
  <c r="O305" i="5"/>
  <c r="N303" i="5"/>
  <c r="M303" i="5"/>
  <c r="M301" i="5" s="1"/>
  <c r="L303" i="5"/>
  <c r="L301" i="5" s="1"/>
  <c r="P302" i="5"/>
  <c r="O302" i="5"/>
  <c r="N299" i="5"/>
  <c r="M299" i="5"/>
  <c r="P299" i="5" s="1"/>
  <c r="L299" i="5"/>
  <c r="O299" i="5" s="1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I287" i="5"/>
  <c r="K287" i="5" s="1"/>
  <c r="N285" i="5"/>
  <c r="N283" i="5" s="1"/>
  <c r="M285" i="5"/>
  <c r="P285" i="5" s="1"/>
  <c r="L285" i="5"/>
  <c r="L283" i="5" s="1"/>
  <c r="O283" i="5" s="1"/>
  <c r="P284" i="5"/>
  <c r="O284" i="5"/>
  <c r="N282" i="5"/>
  <c r="N280" i="5" s="1"/>
  <c r="M282" i="5"/>
  <c r="M280" i="5" s="1"/>
  <c r="L282" i="5"/>
  <c r="L280" i="5" s="1"/>
  <c r="P281" i="5"/>
  <c r="O281" i="5"/>
  <c r="N278" i="5"/>
  <c r="M278" i="5"/>
  <c r="P278" i="5" s="1"/>
  <c r="L278" i="5"/>
  <c r="J276" i="5"/>
  <c r="I271" i="5"/>
  <c r="N269" i="5"/>
  <c r="N267" i="5" s="1"/>
  <c r="M269" i="5"/>
  <c r="P269" i="5" s="1"/>
  <c r="L269" i="5"/>
  <c r="O269" i="5" s="1"/>
  <c r="P268" i="5"/>
  <c r="O268" i="5"/>
  <c r="N266" i="5"/>
  <c r="N264" i="5" s="1"/>
  <c r="M266" i="5"/>
  <c r="M264" i="5" s="1"/>
  <c r="L266" i="5"/>
  <c r="L264" i="5" s="1"/>
  <c r="P265" i="5"/>
  <c r="O265" i="5"/>
  <c r="N262" i="5"/>
  <c r="M262" i="5"/>
  <c r="P262" i="5" s="1"/>
  <c r="L262" i="5"/>
  <c r="J260" i="5"/>
  <c r="K258" i="5"/>
  <c r="K257" i="5"/>
  <c r="I255" i="5"/>
  <c r="I248" i="5" s="1"/>
  <c r="L253" i="5"/>
  <c r="L252" i="5"/>
  <c r="L251" i="5"/>
  <c r="L250" i="5"/>
  <c r="P249" i="5"/>
  <c r="N249" i="5"/>
  <c r="J248" i="5"/>
  <c r="K247" i="5"/>
  <c r="K246" i="5"/>
  <c r="I244" i="5"/>
  <c r="I237" i="5" s="1"/>
  <c r="K237" i="5" s="1"/>
  <c r="L242" i="5"/>
  <c r="L241" i="5"/>
  <c r="L240" i="5"/>
  <c r="L239" i="5"/>
  <c r="P238" i="5"/>
  <c r="N238" i="5"/>
  <c r="J237" i="5"/>
  <c r="J236" i="5"/>
  <c r="I236" i="5"/>
  <c r="K236" i="5" s="1"/>
  <c r="J235" i="5"/>
  <c r="I235" i="5"/>
  <c r="K235" i="5" s="1"/>
  <c r="J233" i="5"/>
  <c r="N231" i="5"/>
  <c r="N230" i="5"/>
  <c r="N229" i="5"/>
  <c r="N228" i="5"/>
  <c r="J226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P189" i="5" s="1"/>
  <c r="L189" i="5"/>
  <c r="O189" i="5" s="1"/>
  <c r="P188" i="5"/>
  <c r="O188" i="5"/>
  <c r="N186" i="5"/>
  <c r="M186" i="5"/>
  <c r="L186" i="5"/>
  <c r="L184" i="5" s="1"/>
  <c r="P185" i="5"/>
  <c r="O185" i="5"/>
  <c r="P182" i="5"/>
  <c r="O182" i="5"/>
  <c r="N182" i="5"/>
  <c r="M182" i="5"/>
  <c r="L182" i="5"/>
  <c r="J180" i="5"/>
  <c r="J177" i="5"/>
  <c r="I176" i="5"/>
  <c r="I174" i="5" s="1"/>
  <c r="J174" i="5"/>
  <c r="J164" i="5" s="1"/>
  <c r="N173" i="5"/>
  <c r="N171" i="5" s="1"/>
  <c r="M173" i="5"/>
  <c r="P173" i="5" s="1"/>
  <c r="L173" i="5"/>
  <c r="O173" i="5" s="1"/>
  <c r="P172" i="5"/>
  <c r="O172" i="5"/>
  <c r="N170" i="5"/>
  <c r="N168" i="5" s="1"/>
  <c r="M170" i="5"/>
  <c r="M168" i="5" s="1"/>
  <c r="L170" i="5"/>
  <c r="P169" i="5"/>
  <c r="O169" i="5"/>
  <c r="P166" i="5"/>
  <c r="O166" i="5"/>
  <c r="N166" i="5"/>
  <c r="M166" i="5"/>
  <c r="L166" i="5"/>
  <c r="I159" i="5"/>
  <c r="K159" i="5" s="1"/>
  <c r="N157" i="5"/>
  <c r="N155" i="5" s="1"/>
  <c r="M157" i="5"/>
  <c r="P157" i="5" s="1"/>
  <c r="L157" i="5"/>
  <c r="O157" i="5" s="1"/>
  <c r="P156" i="5"/>
  <c r="O156" i="5"/>
  <c r="N154" i="5"/>
  <c r="N152" i="5" s="1"/>
  <c r="M154" i="5"/>
  <c r="L154" i="5"/>
  <c r="L152" i="5" s="1"/>
  <c r="P153" i="5"/>
  <c r="O153" i="5"/>
  <c r="P150" i="5"/>
  <c r="N150" i="5"/>
  <c r="M150" i="5"/>
  <c r="L150" i="5"/>
  <c r="O150" i="5" s="1"/>
  <c r="J148" i="5"/>
  <c r="I146" i="5"/>
  <c r="I130" i="5" s="1"/>
  <c r="I145" i="5"/>
  <c r="I143" i="5" s="1"/>
  <c r="I144" i="5"/>
  <c r="N140" i="5"/>
  <c r="M140" i="5"/>
  <c r="L140" i="5"/>
  <c r="L138" i="5" s="1"/>
  <c r="P139" i="5"/>
  <c r="O139" i="5"/>
  <c r="N137" i="5"/>
  <c r="M137" i="5"/>
  <c r="M135" i="5" s="1"/>
  <c r="L137" i="5"/>
  <c r="L135" i="5" s="1"/>
  <c r="P136" i="5"/>
  <c r="O136" i="5"/>
  <c r="P133" i="5"/>
  <c r="O133" i="5"/>
  <c r="N133" i="5"/>
  <c r="M133" i="5"/>
  <c r="L133" i="5"/>
  <c r="J130" i="5"/>
  <c r="N127" i="5"/>
  <c r="N125" i="5" s="1"/>
  <c r="M127" i="5"/>
  <c r="P127" i="5" s="1"/>
  <c r="L127" i="5"/>
  <c r="O127" i="5" s="1"/>
  <c r="P126" i="5"/>
  <c r="O126" i="5"/>
  <c r="N124" i="5"/>
  <c r="N122" i="5" s="1"/>
  <c r="M124" i="5"/>
  <c r="P124" i="5" s="1"/>
  <c r="L124" i="5"/>
  <c r="O124" i="5" s="1"/>
  <c r="P123" i="5"/>
  <c r="O123" i="5"/>
  <c r="N120" i="5"/>
  <c r="M120" i="5"/>
  <c r="L120" i="5"/>
  <c r="I116" i="5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I87" i="5" s="1"/>
  <c r="K87" i="5" s="1"/>
  <c r="J98" i="5"/>
  <c r="I98" i="5"/>
  <c r="I86" i="5" s="1"/>
  <c r="K86" i="5" s="1"/>
  <c r="N96" i="5"/>
  <c r="N94" i="5" s="1"/>
  <c r="M96" i="5"/>
  <c r="P96" i="5" s="1"/>
  <c r="L96" i="5"/>
  <c r="O96" i="5" s="1"/>
  <c r="P95" i="5"/>
  <c r="O95" i="5"/>
  <c r="N93" i="5"/>
  <c r="M93" i="5"/>
  <c r="M91" i="5" s="1"/>
  <c r="L93" i="5"/>
  <c r="P92" i="5"/>
  <c r="O92" i="5"/>
  <c r="P89" i="5"/>
  <c r="O89" i="5"/>
  <c r="N89" i="5"/>
  <c r="M89" i="5"/>
  <c r="L89" i="5"/>
  <c r="J86" i="5"/>
  <c r="I84" i="5"/>
  <c r="K84" i="5" s="1"/>
  <c r="I83" i="5"/>
  <c r="I82" i="5"/>
  <c r="K82" i="5" s="1"/>
  <c r="I81" i="5"/>
  <c r="K81" i="5" s="1"/>
  <c r="I80" i="5"/>
  <c r="I79" i="5"/>
  <c r="K79" i="5" s="1"/>
  <c r="I78" i="5"/>
  <c r="K78" i="5" s="1"/>
  <c r="J77" i="5"/>
  <c r="J65" i="5" s="1"/>
  <c r="J76" i="5"/>
  <c r="N74" i="5"/>
  <c r="N72" i="5" s="1"/>
  <c r="M74" i="5"/>
  <c r="P74" i="5" s="1"/>
  <c r="L74" i="5"/>
  <c r="O74" i="5" s="1"/>
  <c r="P73" i="5"/>
  <c r="O73" i="5"/>
  <c r="N71" i="5"/>
  <c r="N69" i="5" s="1"/>
  <c r="M71" i="5"/>
  <c r="P71" i="5" s="1"/>
  <c r="L71" i="5"/>
  <c r="O71" i="5" s="1"/>
  <c r="P70" i="5"/>
  <c r="O70" i="5"/>
  <c r="O67" i="5"/>
  <c r="N67" i="5"/>
  <c r="M67" i="5"/>
  <c r="P67" i="5" s="1"/>
  <c r="L67" i="5"/>
  <c r="J64" i="5"/>
  <c r="N61" i="5"/>
  <c r="M61" i="5"/>
  <c r="M59" i="5" s="1"/>
  <c r="L61" i="5"/>
  <c r="P60" i="5"/>
  <c r="O60" i="5"/>
  <c r="N58" i="5"/>
  <c r="N56" i="5" s="1"/>
  <c r="M58" i="5"/>
  <c r="L58" i="5"/>
  <c r="P57" i="5"/>
  <c r="O57" i="5"/>
  <c r="P54" i="5"/>
  <c r="N54" i="5"/>
  <c r="M54" i="5"/>
  <c r="L54" i="5"/>
  <c r="N49" i="5"/>
  <c r="N47" i="5" s="1"/>
  <c r="M49" i="5"/>
  <c r="P49" i="5" s="1"/>
  <c r="L49" i="5"/>
  <c r="O49" i="5" s="1"/>
  <c r="P48" i="5"/>
  <c r="O48" i="5"/>
  <c r="N46" i="5"/>
  <c r="N44" i="5" s="1"/>
  <c r="M46" i="5"/>
  <c r="L46" i="5"/>
  <c r="L44" i="5" s="1"/>
  <c r="P45" i="5"/>
  <c r="O45" i="5"/>
  <c r="O42" i="5"/>
  <c r="N42" i="5"/>
  <c r="M42" i="5"/>
  <c r="P42" i="5" s="1"/>
  <c r="L42" i="5"/>
  <c r="P36" i="5"/>
  <c r="N36" i="5"/>
  <c r="M36" i="5"/>
  <c r="P35" i="5"/>
  <c r="O35" i="5"/>
  <c r="N35" i="5"/>
  <c r="M35" i="5"/>
  <c r="M34" i="5" s="1"/>
  <c r="L35" i="5"/>
  <c r="P34" i="5"/>
  <c r="N34" i="5"/>
  <c r="M33" i="5"/>
  <c r="P33" i="5" s="1"/>
  <c r="N32" i="5"/>
  <c r="N12" i="5" s="1"/>
  <c r="M32" i="5"/>
  <c r="L32" i="5"/>
  <c r="O32" i="5" s="1"/>
  <c r="M31" i="5"/>
  <c r="P31" i="5" s="1"/>
  <c r="N25" i="5"/>
  <c r="M25" i="5"/>
  <c r="L25" i="5"/>
  <c r="O25" i="5" s="1"/>
  <c r="P22" i="5"/>
  <c r="O22" i="5"/>
  <c r="N22" i="5"/>
  <c r="M22" i="5"/>
  <c r="L22" i="5"/>
  <c r="N19" i="5"/>
  <c r="M19" i="5"/>
  <c r="P19" i="5" s="1"/>
  <c r="L19" i="5"/>
  <c r="O19" i="5" s="1"/>
  <c r="M12" i="5"/>
  <c r="L12" i="5"/>
  <c r="O12" i="5" s="1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P809" i="4"/>
  <c r="O809" i="4"/>
  <c r="O808" i="4"/>
  <c r="N808" i="4"/>
  <c r="M808" i="4"/>
  <c r="P808" i="4" s="1"/>
  <c r="L808" i="4"/>
  <c r="N807" i="4"/>
  <c r="N805" i="4" s="1"/>
  <c r="M807" i="4"/>
  <c r="P807" i="4" s="1"/>
  <c r="L807" i="4"/>
  <c r="O807" i="4" s="1"/>
  <c r="N806" i="4"/>
  <c r="M806" i="4"/>
  <c r="L806" i="4"/>
  <c r="O806" i="4" s="1"/>
  <c r="L805" i="4"/>
  <c r="O805" i="4" s="1"/>
  <c r="K804" i="4"/>
  <c r="J804" i="4"/>
  <c r="J803" i="4"/>
  <c r="I803" i="4"/>
  <c r="J802" i="4"/>
  <c r="J801" i="4"/>
  <c r="I801" i="4"/>
  <c r="J800" i="4"/>
  <c r="P798" i="4"/>
  <c r="O798" i="4"/>
  <c r="P797" i="4"/>
  <c r="O797" i="4"/>
  <c r="N796" i="4"/>
  <c r="M796" i="4"/>
  <c r="P796" i="4" s="1"/>
  <c r="L796" i="4"/>
  <c r="O796" i="4" s="1"/>
  <c r="N795" i="4"/>
  <c r="N791" i="4" s="1"/>
  <c r="P791" i="4"/>
  <c r="L791" i="4"/>
  <c r="P790" i="4"/>
  <c r="O790" i="4"/>
  <c r="M789" i="4"/>
  <c r="P789" i="4" s="1"/>
  <c r="P788" i="4"/>
  <c r="M788" i="4"/>
  <c r="P787" i="4"/>
  <c r="O787" i="4"/>
  <c r="N787" i="4"/>
  <c r="M787" i="4"/>
  <c r="L787" i="4"/>
  <c r="P786" i="4"/>
  <c r="M786" i="4"/>
  <c r="P782" i="4"/>
  <c r="O782" i="4"/>
  <c r="P781" i="4"/>
  <c r="O781" i="4"/>
  <c r="P780" i="4"/>
  <c r="O780" i="4"/>
  <c r="N780" i="4"/>
  <c r="M780" i="4"/>
  <c r="L780" i="4"/>
  <c r="P775" i="4"/>
  <c r="O775" i="4"/>
  <c r="N775" i="4"/>
  <c r="N772" i="4" s="1"/>
  <c r="N770" i="4" s="1"/>
  <c r="P774" i="4"/>
  <c r="O774" i="4"/>
  <c r="M773" i="4"/>
  <c r="P773" i="4" s="1"/>
  <c r="L773" i="4"/>
  <c r="O773" i="4" s="1"/>
  <c r="M772" i="4"/>
  <c r="L772" i="4"/>
  <c r="O772" i="4" s="1"/>
  <c r="P771" i="4"/>
  <c r="N771" i="4"/>
  <c r="M771" i="4"/>
  <c r="L771" i="4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N756" i="4" s="1"/>
  <c r="N754" i="4" s="1"/>
  <c r="P758" i="4"/>
  <c r="O758" i="4"/>
  <c r="N757" i="4"/>
  <c r="M757" i="4"/>
  <c r="P757" i="4" s="1"/>
  <c r="L757" i="4"/>
  <c r="O757" i="4" s="1"/>
  <c r="M756" i="4"/>
  <c r="L756" i="4"/>
  <c r="O756" i="4" s="1"/>
  <c r="P755" i="4"/>
  <c r="N755" i="4"/>
  <c r="M755" i="4"/>
  <c r="L755" i="4"/>
  <c r="K753" i="4"/>
  <c r="J753" i="4"/>
  <c r="P749" i="4"/>
  <c r="O749" i="4"/>
  <c r="P748" i="4"/>
  <c r="O748" i="4"/>
  <c r="P747" i="4"/>
  <c r="O747" i="4"/>
  <c r="N747" i="4"/>
  <c r="M747" i="4"/>
  <c r="L747" i="4"/>
  <c r="P742" i="4"/>
  <c r="O742" i="4"/>
  <c r="N742" i="4"/>
  <c r="N739" i="4" s="1"/>
  <c r="N737" i="4" s="1"/>
  <c r="P741" i="4"/>
  <c r="O741" i="4"/>
  <c r="M740" i="4"/>
  <c r="P740" i="4" s="1"/>
  <c r="L740" i="4"/>
  <c r="O740" i="4" s="1"/>
  <c r="M739" i="4"/>
  <c r="L739" i="4"/>
  <c r="O739" i="4" s="1"/>
  <c r="P738" i="4"/>
  <c r="N738" i="4"/>
  <c r="M738" i="4"/>
  <c r="L738" i="4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J699" i="4"/>
  <c r="I699" i="4"/>
  <c r="K699" i="4" s="1"/>
  <c r="P697" i="4"/>
  <c r="O697" i="4"/>
  <c r="P696" i="4"/>
  <c r="O696" i="4"/>
  <c r="P695" i="4"/>
  <c r="O695" i="4"/>
  <c r="N695" i="4"/>
  <c r="M695" i="4"/>
  <c r="L695" i="4"/>
  <c r="P690" i="4"/>
  <c r="N690" i="4"/>
  <c r="L690" i="4"/>
  <c r="L687" i="4" s="1"/>
  <c r="M688" i="4"/>
  <c r="P688" i="4" s="1"/>
  <c r="P687" i="4"/>
  <c r="M687" i="4"/>
  <c r="P686" i="4"/>
  <c r="O686" i="4"/>
  <c r="N686" i="4"/>
  <c r="M686" i="4"/>
  <c r="L686" i="4"/>
  <c r="P685" i="4"/>
  <c r="M685" i="4"/>
  <c r="J679" i="4"/>
  <c r="J678" i="4"/>
  <c r="I678" i="4"/>
  <c r="K678" i="4" s="1"/>
  <c r="J675" i="4"/>
  <c r="I671" i="4"/>
  <c r="K671" i="4" s="1"/>
  <c r="I670" i="4"/>
  <c r="K670" i="4" s="1"/>
  <c r="J669" i="4"/>
  <c r="J654" i="4" s="1"/>
  <c r="I669" i="4"/>
  <c r="K675" i="4" s="1"/>
  <c r="P667" i="4"/>
  <c r="O667" i="4"/>
  <c r="P666" i="4"/>
  <c r="O666" i="4"/>
  <c r="P665" i="4"/>
  <c r="O665" i="4"/>
  <c r="N665" i="4"/>
  <c r="M665" i="4"/>
  <c r="L665" i="4"/>
  <c r="N664" i="4"/>
  <c r="N660" i="4" s="1"/>
  <c r="P660" i="4"/>
  <c r="L660" i="4"/>
  <c r="L658" i="4" s="1"/>
  <c r="P659" i="4"/>
  <c r="O659" i="4"/>
  <c r="P658" i="4"/>
  <c r="M658" i="4"/>
  <c r="P657" i="4"/>
  <c r="M657" i="4"/>
  <c r="O656" i="4"/>
  <c r="N656" i="4"/>
  <c r="M656" i="4"/>
  <c r="P656" i="4" s="1"/>
  <c r="L656" i="4"/>
  <c r="M655" i="4"/>
  <c r="P655" i="4" s="1"/>
  <c r="K652" i="4"/>
  <c r="J652" i="4"/>
  <c r="J651" i="4"/>
  <c r="J628" i="4" s="1"/>
  <c r="I651" i="4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P640" i="4"/>
  <c r="O640" i="4"/>
  <c r="N639" i="4"/>
  <c r="M639" i="4"/>
  <c r="P639" i="4" s="1"/>
  <c r="P634" i="4"/>
  <c r="N634" i="4"/>
  <c r="L634" i="4"/>
  <c r="O634" i="4" s="1"/>
  <c r="P633" i="4"/>
  <c r="O633" i="4"/>
  <c r="N632" i="4"/>
  <c r="M632" i="4"/>
  <c r="P632" i="4" s="1"/>
  <c r="P631" i="4"/>
  <c r="N631" i="4"/>
  <c r="M631" i="4"/>
  <c r="P630" i="4"/>
  <c r="O630" i="4"/>
  <c r="N630" i="4"/>
  <c r="M630" i="4"/>
  <c r="L630" i="4"/>
  <c r="P629" i="4"/>
  <c r="N629" i="4"/>
  <c r="M629" i="4"/>
  <c r="J621" i="4"/>
  <c r="I621" i="4"/>
  <c r="K621" i="4" s="1"/>
  <c r="J620" i="4"/>
  <c r="I620" i="4"/>
  <c r="K613" i="4"/>
  <c r="J613" i="4"/>
  <c r="K612" i="4"/>
  <c r="J612" i="4"/>
  <c r="K611" i="4"/>
  <c r="J611" i="4"/>
  <c r="J604" i="4"/>
  <c r="J603" i="4"/>
  <c r="J596" i="4"/>
  <c r="J595" i="4"/>
  <c r="J594" i="4"/>
  <c r="I594" i="4"/>
  <c r="K594" i="4" s="1"/>
  <c r="J593" i="4"/>
  <c r="I593" i="4"/>
  <c r="I592" i="4" s="1"/>
  <c r="J592" i="4"/>
  <c r="J583" i="4"/>
  <c r="J582" i="4"/>
  <c r="J577" i="4"/>
  <c r="I577" i="4"/>
  <c r="J576" i="4"/>
  <c r="I576" i="4"/>
  <c r="K576" i="4" s="1"/>
  <c r="J569" i="4"/>
  <c r="I569" i="4"/>
  <c r="J568" i="4"/>
  <c r="I568" i="4"/>
  <c r="K568" i="4" s="1"/>
  <c r="J561" i="4"/>
  <c r="I561" i="4"/>
  <c r="K561" i="4" s="1"/>
  <c r="J560" i="4"/>
  <c r="I560" i="4"/>
  <c r="K560" i="4" s="1"/>
  <c r="J559" i="4"/>
  <c r="J543" i="4" s="1"/>
  <c r="P557" i="4"/>
  <c r="L557" i="4"/>
  <c r="P556" i="4"/>
  <c r="O556" i="4"/>
  <c r="P555" i="4"/>
  <c r="N555" i="4"/>
  <c r="M555" i="4"/>
  <c r="N553" i="4"/>
  <c r="N552" i="4"/>
  <c r="N549" i="4" s="1"/>
  <c r="P549" i="4"/>
  <c r="L549" i="4"/>
  <c r="L547" i="4" s="1"/>
  <c r="P548" i="4"/>
  <c r="O548" i="4"/>
  <c r="P547" i="4"/>
  <c r="M547" i="4"/>
  <c r="P546" i="4"/>
  <c r="M546" i="4"/>
  <c r="P545" i="4"/>
  <c r="O545" i="4"/>
  <c r="N545" i="4"/>
  <c r="M545" i="4"/>
  <c r="L545" i="4"/>
  <c r="M544" i="4"/>
  <c r="P544" i="4" s="1"/>
  <c r="I542" i="4"/>
  <c r="K542" i="4" s="1"/>
  <c r="I541" i="4"/>
  <c r="K541" i="4" s="1"/>
  <c r="I540" i="4"/>
  <c r="K540" i="4" s="1"/>
  <c r="I539" i="4"/>
  <c r="I538" i="4"/>
  <c r="K538" i="4" s="1"/>
  <c r="I537" i="4"/>
  <c r="P535" i="4"/>
  <c r="L535" i="4"/>
  <c r="L533" i="4" s="1"/>
  <c r="O533" i="4" s="1"/>
  <c r="P534" i="4"/>
  <c r="O534" i="4"/>
  <c r="P533" i="4"/>
  <c r="N533" i="4"/>
  <c r="M533" i="4"/>
  <c r="P528" i="4"/>
  <c r="N528" i="4"/>
  <c r="L528" i="4"/>
  <c r="L526" i="4" s="1"/>
  <c r="O526" i="4" s="1"/>
  <c r="P527" i="4"/>
  <c r="O527" i="4"/>
  <c r="P526" i="4"/>
  <c r="N526" i="4"/>
  <c r="M526" i="4"/>
  <c r="N525" i="4"/>
  <c r="M525" i="4"/>
  <c r="P525" i="4" s="1"/>
  <c r="N524" i="4"/>
  <c r="N523" i="4" s="1"/>
  <c r="M524" i="4"/>
  <c r="P524" i="4" s="1"/>
  <c r="L524" i="4"/>
  <c r="O524" i="4" s="1"/>
  <c r="M523" i="4"/>
  <c r="P523" i="4" s="1"/>
  <c r="K517" i="4"/>
  <c r="J517" i="4"/>
  <c r="J501" i="4" s="1"/>
  <c r="K516" i="4"/>
  <c r="P514" i="4"/>
  <c r="O514" i="4"/>
  <c r="P513" i="4"/>
  <c r="O513" i="4"/>
  <c r="P512" i="4"/>
  <c r="O512" i="4"/>
  <c r="N512" i="4"/>
  <c r="M512" i="4"/>
  <c r="L512" i="4"/>
  <c r="P507" i="4"/>
  <c r="O507" i="4"/>
  <c r="N507" i="4"/>
  <c r="N504" i="4" s="1"/>
  <c r="P506" i="4"/>
  <c r="O506" i="4"/>
  <c r="N505" i="4"/>
  <c r="M505" i="4"/>
  <c r="P505" i="4" s="1"/>
  <c r="L505" i="4"/>
  <c r="O505" i="4" s="1"/>
  <c r="M504" i="4"/>
  <c r="L504" i="4"/>
  <c r="O504" i="4" s="1"/>
  <c r="P503" i="4"/>
  <c r="O503" i="4"/>
  <c r="N503" i="4"/>
  <c r="M503" i="4"/>
  <c r="L503" i="4"/>
  <c r="L502" i="4" s="1"/>
  <c r="O502" i="4" s="1"/>
  <c r="N502" i="4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N477" i="4"/>
  <c r="M477" i="4"/>
  <c r="P477" i="4" s="1"/>
  <c r="N476" i="4"/>
  <c r="N475" i="4"/>
  <c r="N473" i="4"/>
  <c r="P472" i="4"/>
  <c r="N472" i="4"/>
  <c r="N469" i="4" s="1"/>
  <c r="N467" i="4" s="1"/>
  <c r="L472" i="4"/>
  <c r="L470" i="4" s="1"/>
  <c r="P471" i="4"/>
  <c r="O471" i="4"/>
  <c r="P470" i="4"/>
  <c r="M470" i="4"/>
  <c r="P469" i="4"/>
  <c r="M469" i="4"/>
  <c r="N468" i="4"/>
  <c r="M468" i="4"/>
  <c r="L468" i="4"/>
  <c r="O468" i="4" s="1"/>
  <c r="J466" i="4"/>
  <c r="I466" i="4"/>
  <c r="K466" i="4" s="1"/>
  <c r="J465" i="4"/>
  <c r="I465" i="4"/>
  <c r="K465" i="4" s="1"/>
  <c r="I464" i="4"/>
  <c r="I463" i="4"/>
  <c r="I462" i="4"/>
  <c r="K462" i="4" s="1"/>
  <c r="I460" i="4"/>
  <c r="K460" i="4" s="1"/>
  <c r="K458" i="4"/>
  <c r="P456" i="4"/>
  <c r="L456" i="4"/>
  <c r="O456" i="4" s="1"/>
  <c r="P455" i="4"/>
  <c r="O455" i="4"/>
  <c r="N454" i="4"/>
  <c r="M454" i="4"/>
  <c r="P454" i="4" s="1"/>
  <c r="N453" i="4"/>
  <c r="N452" i="4"/>
  <c r="N450" i="4"/>
  <c r="P449" i="4"/>
  <c r="L449" i="4"/>
  <c r="P448" i="4"/>
  <c r="O448" i="4"/>
  <c r="M447" i="4"/>
  <c r="P447" i="4" s="1"/>
  <c r="M446" i="4"/>
  <c r="P446" i="4" s="1"/>
  <c r="O445" i="4"/>
  <c r="N445" i="4"/>
  <c r="M445" i="4"/>
  <c r="L445" i="4"/>
  <c r="J443" i="4"/>
  <c r="J442" i="4"/>
  <c r="I441" i="4"/>
  <c r="K441" i="4" s="1"/>
  <c r="I440" i="4"/>
  <c r="I439" i="4"/>
  <c r="K439" i="4" s="1"/>
  <c r="I438" i="4"/>
  <c r="K438" i="4" s="1"/>
  <c r="I437" i="4"/>
  <c r="K437" i="4" s="1"/>
  <c r="I435" i="4"/>
  <c r="I433" i="4" s="1"/>
  <c r="I417" i="4" s="1"/>
  <c r="J434" i="4"/>
  <c r="J418" i="4" s="1"/>
  <c r="P431" i="4"/>
  <c r="L431" i="4"/>
  <c r="O431" i="4" s="1"/>
  <c r="P430" i="4"/>
  <c r="O430" i="4"/>
  <c r="P429" i="4"/>
  <c r="N429" i="4"/>
  <c r="M429" i="4"/>
  <c r="N428" i="4"/>
  <c r="N425" i="4"/>
  <c r="N424" i="4" s="1"/>
  <c r="P424" i="4"/>
  <c r="L424" i="4"/>
  <c r="P423" i="4"/>
  <c r="O423" i="4"/>
  <c r="M422" i="4"/>
  <c r="P422" i="4" s="1"/>
  <c r="M421" i="4"/>
  <c r="P421" i="4" s="1"/>
  <c r="O420" i="4"/>
  <c r="N420" i="4"/>
  <c r="M420" i="4"/>
  <c r="P420" i="4" s="1"/>
  <c r="L420" i="4"/>
  <c r="K413" i="4"/>
  <c r="K412" i="4"/>
  <c r="N410" i="4"/>
  <c r="N408" i="4" s="1"/>
  <c r="M410" i="4"/>
  <c r="P410" i="4" s="1"/>
  <c r="L410" i="4"/>
  <c r="O410" i="4" s="1"/>
  <c r="P409" i="4"/>
  <c r="O409" i="4"/>
  <c r="N407" i="4"/>
  <c r="N405" i="4" s="1"/>
  <c r="M407" i="4"/>
  <c r="L407" i="4"/>
  <c r="P406" i="4"/>
  <c r="O406" i="4"/>
  <c r="P403" i="4"/>
  <c r="O403" i="4"/>
  <c r="N403" i="4"/>
  <c r="M403" i="4"/>
  <c r="L403" i="4"/>
  <c r="K401" i="4"/>
  <c r="J401" i="4"/>
  <c r="I401" i="4"/>
  <c r="K400" i="4"/>
  <c r="K399" i="4"/>
  <c r="N397" i="4"/>
  <c r="N395" i="4" s="1"/>
  <c r="M397" i="4"/>
  <c r="M395" i="4" s="1"/>
  <c r="P395" i="4" s="1"/>
  <c r="L397" i="4"/>
  <c r="L395" i="4" s="1"/>
  <c r="O395" i="4" s="1"/>
  <c r="P396" i="4"/>
  <c r="O396" i="4"/>
  <c r="N394" i="4"/>
  <c r="M394" i="4"/>
  <c r="P394" i="4" s="1"/>
  <c r="L394" i="4"/>
  <c r="L392" i="4" s="1"/>
  <c r="O392" i="4" s="1"/>
  <c r="P393" i="4"/>
  <c r="O393" i="4"/>
  <c r="O390" i="4"/>
  <c r="N390" i="4"/>
  <c r="M390" i="4"/>
  <c r="L390" i="4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P352" i="4"/>
  <c r="O352" i="4"/>
  <c r="N350" i="4"/>
  <c r="N348" i="4" s="1"/>
  <c r="M350" i="4"/>
  <c r="L350" i="4"/>
  <c r="L348" i="4" s="1"/>
  <c r="P349" i="4"/>
  <c r="O349" i="4"/>
  <c r="N346" i="4"/>
  <c r="M346" i="4"/>
  <c r="L346" i="4"/>
  <c r="O346" i="4" s="1"/>
  <c r="J343" i="4"/>
  <c r="J342" i="4"/>
  <c r="J341" i="4"/>
  <c r="J340" i="4"/>
  <c r="I340" i="4"/>
  <c r="J338" i="4"/>
  <c r="I338" i="4"/>
  <c r="N336" i="4"/>
  <c r="N334" i="4" s="1"/>
  <c r="M336" i="4"/>
  <c r="M334" i="4" s="1"/>
  <c r="P334" i="4" s="1"/>
  <c r="L336" i="4"/>
  <c r="P335" i="4"/>
  <c r="O335" i="4"/>
  <c r="N333" i="4"/>
  <c r="N331" i="4" s="1"/>
  <c r="M333" i="4"/>
  <c r="M331" i="4" s="1"/>
  <c r="L333" i="4"/>
  <c r="L331" i="4" s="1"/>
  <c r="P332" i="4"/>
  <c r="O332" i="4"/>
  <c r="P329" i="4"/>
  <c r="O329" i="4"/>
  <c r="N329" i="4"/>
  <c r="M329" i="4"/>
  <c r="L329" i="4"/>
  <c r="I327" i="4"/>
  <c r="I325" i="4"/>
  <c r="I314" i="4" s="1"/>
  <c r="N323" i="4"/>
  <c r="N321" i="4" s="1"/>
  <c r="M323" i="4"/>
  <c r="P323" i="4" s="1"/>
  <c r="L323" i="4"/>
  <c r="P322" i="4"/>
  <c r="O322" i="4"/>
  <c r="N320" i="4"/>
  <c r="M320" i="4"/>
  <c r="M318" i="4" s="1"/>
  <c r="L320" i="4"/>
  <c r="P319" i="4"/>
  <c r="O319" i="4"/>
  <c r="N316" i="4"/>
  <c r="M316" i="4"/>
  <c r="L316" i="4"/>
  <c r="O316" i="4" s="1"/>
  <c r="J314" i="4"/>
  <c r="I312" i="4"/>
  <c r="K312" i="4" s="1"/>
  <c r="I311" i="4"/>
  <c r="K311" i="4" s="1"/>
  <c r="I310" i="4"/>
  <c r="K310" i="4" s="1"/>
  <c r="I309" i="4"/>
  <c r="K309" i="4" s="1"/>
  <c r="N306" i="4"/>
  <c r="M306" i="4"/>
  <c r="P306" i="4" s="1"/>
  <c r="L306" i="4"/>
  <c r="P305" i="4"/>
  <c r="O305" i="4"/>
  <c r="N303" i="4"/>
  <c r="N301" i="4" s="1"/>
  <c r="M303" i="4"/>
  <c r="L303" i="4"/>
  <c r="P302" i="4"/>
  <c r="O302" i="4"/>
  <c r="O299" i="4"/>
  <c r="N299" i="4"/>
  <c r="M299" i="4"/>
  <c r="P299" i="4" s="1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K287" i="4" s="1"/>
  <c r="N285" i="4"/>
  <c r="N283" i="4" s="1"/>
  <c r="M285" i="4"/>
  <c r="M283" i="4" s="1"/>
  <c r="P283" i="4" s="1"/>
  <c r="L285" i="4"/>
  <c r="P284" i="4"/>
  <c r="O284" i="4"/>
  <c r="N282" i="4"/>
  <c r="M282" i="4"/>
  <c r="L282" i="4"/>
  <c r="L280" i="4" s="1"/>
  <c r="P281" i="4"/>
  <c r="O281" i="4"/>
  <c r="P278" i="4"/>
  <c r="N278" i="4"/>
  <c r="M278" i="4"/>
  <c r="L278" i="4"/>
  <c r="J276" i="4"/>
  <c r="I271" i="4"/>
  <c r="K271" i="4" s="1"/>
  <c r="N269" i="4"/>
  <c r="N267" i="4" s="1"/>
  <c r="M269" i="4"/>
  <c r="M267" i="4" s="1"/>
  <c r="P267" i="4" s="1"/>
  <c r="L269" i="4"/>
  <c r="P268" i="4"/>
  <c r="O268" i="4"/>
  <c r="N266" i="4"/>
  <c r="M266" i="4"/>
  <c r="M264" i="4" s="1"/>
  <c r="L266" i="4"/>
  <c r="L264" i="4" s="1"/>
  <c r="P265" i="4"/>
  <c r="O265" i="4"/>
  <c r="O262" i="4"/>
  <c r="N262" i="4"/>
  <c r="M262" i="4"/>
  <c r="L262" i="4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N227" i="4" s="1"/>
  <c r="J237" i="4"/>
  <c r="K236" i="4"/>
  <c r="J236" i="4"/>
  <c r="I236" i="4"/>
  <c r="J235" i="4"/>
  <c r="I235" i="4"/>
  <c r="K235" i="4" s="1"/>
  <c r="J233" i="4"/>
  <c r="N231" i="4"/>
  <c r="N230" i="4"/>
  <c r="N229" i="4"/>
  <c r="N228" i="4"/>
  <c r="J226" i="4"/>
  <c r="J180" i="4" s="1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P189" i="4" s="1"/>
  <c r="L189" i="4"/>
  <c r="P188" i="4"/>
  <c r="O188" i="4"/>
  <c r="N186" i="4"/>
  <c r="N184" i="4" s="1"/>
  <c r="M186" i="4"/>
  <c r="L186" i="4"/>
  <c r="P185" i="4"/>
  <c r="O185" i="4"/>
  <c r="N182" i="4"/>
  <c r="M182" i="4"/>
  <c r="L182" i="4"/>
  <c r="O182" i="4" s="1"/>
  <c r="J177" i="4"/>
  <c r="I176" i="4"/>
  <c r="J174" i="4"/>
  <c r="N173" i="4"/>
  <c r="N171" i="4" s="1"/>
  <c r="M173" i="4"/>
  <c r="P173" i="4" s="1"/>
  <c r="L173" i="4"/>
  <c r="P172" i="4"/>
  <c r="O172" i="4"/>
  <c r="N170" i="4"/>
  <c r="N168" i="4" s="1"/>
  <c r="M170" i="4"/>
  <c r="M168" i="4" s="1"/>
  <c r="L170" i="4"/>
  <c r="P169" i="4"/>
  <c r="O169" i="4"/>
  <c r="O166" i="4"/>
  <c r="N166" i="4"/>
  <c r="M166" i="4"/>
  <c r="L166" i="4"/>
  <c r="J164" i="4"/>
  <c r="I159" i="4"/>
  <c r="I148" i="4" s="1"/>
  <c r="K148" i="4" s="1"/>
  <c r="N157" i="4"/>
  <c r="N155" i="4" s="1"/>
  <c r="M157" i="4"/>
  <c r="P157" i="4" s="1"/>
  <c r="L157" i="4"/>
  <c r="L155" i="4" s="1"/>
  <c r="O155" i="4" s="1"/>
  <c r="P156" i="4"/>
  <c r="O156" i="4"/>
  <c r="N154" i="4"/>
  <c r="M154" i="4"/>
  <c r="M152" i="4" s="1"/>
  <c r="L154" i="4"/>
  <c r="L152" i="4" s="1"/>
  <c r="O152" i="4" s="1"/>
  <c r="P153" i="4"/>
  <c r="O153" i="4"/>
  <c r="O150" i="4"/>
  <c r="N150" i="4"/>
  <c r="M150" i="4"/>
  <c r="L150" i="4"/>
  <c r="J148" i="4"/>
  <c r="I146" i="4"/>
  <c r="I145" i="4"/>
  <c r="I143" i="4" s="1"/>
  <c r="K143" i="4" s="1"/>
  <c r="I144" i="4"/>
  <c r="K144" i="4" s="1"/>
  <c r="N140" i="4"/>
  <c r="N138" i="4" s="1"/>
  <c r="M140" i="4"/>
  <c r="P140" i="4" s="1"/>
  <c r="L140" i="4"/>
  <c r="O140" i="4" s="1"/>
  <c r="P139" i="4"/>
  <c r="O139" i="4"/>
  <c r="N137" i="4"/>
  <c r="M137" i="4"/>
  <c r="P137" i="4" s="1"/>
  <c r="L137" i="4"/>
  <c r="P136" i="4"/>
  <c r="O136" i="4"/>
  <c r="P133" i="4"/>
  <c r="N133" i="4"/>
  <c r="M133" i="4"/>
  <c r="L133" i="4"/>
  <c r="J130" i="4"/>
  <c r="N127" i="4"/>
  <c r="M127" i="4"/>
  <c r="P127" i="4" s="1"/>
  <c r="L127" i="4"/>
  <c r="L125" i="4" s="1"/>
  <c r="O125" i="4" s="1"/>
  <c r="P126" i="4"/>
  <c r="O126" i="4"/>
  <c r="N124" i="4"/>
  <c r="N122" i="4" s="1"/>
  <c r="M124" i="4"/>
  <c r="L124" i="4"/>
  <c r="P123" i="4"/>
  <c r="O123" i="4"/>
  <c r="O120" i="4"/>
  <c r="N120" i="4"/>
  <c r="M120" i="4"/>
  <c r="P120" i="4" s="1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I87" i="4" s="1"/>
  <c r="K87" i="4" s="1"/>
  <c r="J98" i="4"/>
  <c r="J86" i="4" s="1"/>
  <c r="I98" i="4"/>
  <c r="I86" i="4" s="1"/>
  <c r="K86" i="4" s="1"/>
  <c r="N96" i="4"/>
  <c r="N94" i="4" s="1"/>
  <c r="M96" i="4"/>
  <c r="M94" i="4" s="1"/>
  <c r="P94" i="4" s="1"/>
  <c r="L96" i="4"/>
  <c r="L94" i="4" s="1"/>
  <c r="O94" i="4" s="1"/>
  <c r="P95" i="4"/>
  <c r="O95" i="4"/>
  <c r="N93" i="4"/>
  <c r="N91" i="4" s="1"/>
  <c r="M93" i="4"/>
  <c r="M91" i="4" s="1"/>
  <c r="L93" i="4"/>
  <c r="P92" i="4"/>
  <c r="O92" i="4"/>
  <c r="N89" i="4"/>
  <c r="M89" i="4"/>
  <c r="P89" i="4" s="1"/>
  <c r="L89" i="4"/>
  <c r="J87" i="4"/>
  <c r="I84" i="4"/>
  <c r="K84" i="4" s="1"/>
  <c r="I83" i="4"/>
  <c r="K83" i="4" s="1"/>
  <c r="I82" i="4"/>
  <c r="K82" i="4" s="1"/>
  <c r="I81" i="4"/>
  <c r="K81" i="4" s="1"/>
  <c r="I80" i="4"/>
  <c r="I79" i="4"/>
  <c r="K79" i="4" s="1"/>
  <c r="I78" i="4"/>
  <c r="K78" i="4" s="1"/>
  <c r="J77" i="4"/>
  <c r="J76" i="4"/>
  <c r="N74" i="4"/>
  <c r="N72" i="4" s="1"/>
  <c r="M74" i="4"/>
  <c r="P74" i="4" s="1"/>
  <c r="L74" i="4"/>
  <c r="L72" i="4" s="1"/>
  <c r="O72" i="4" s="1"/>
  <c r="P73" i="4"/>
  <c r="O73" i="4"/>
  <c r="N71" i="4"/>
  <c r="M71" i="4"/>
  <c r="P71" i="4" s="1"/>
  <c r="L71" i="4"/>
  <c r="L69" i="4" s="1"/>
  <c r="O69" i="4" s="1"/>
  <c r="P70" i="4"/>
  <c r="O70" i="4"/>
  <c r="P67" i="4"/>
  <c r="N67" i="4"/>
  <c r="M67" i="4"/>
  <c r="L67" i="4"/>
  <c r="O67" i="4" s="1"/>
  <c r="J65" i="4"/>
  <c r="J64" i="4"/>
  <c r="N61" i="4"/>
  <c r="N59" i="4" s="1"/>
  <c r="M61" i="4"/>
  <c r="L61" i="4"/>
  <c r="L59" i="4" s="1"/>
  <c r="P60" i="4"/>
  <c r="O60" i="4"/>
  <c r="N58" i="4"/>
  <c r="N56" i="4" s="1"/>
  <c r="M58" i="4"/>
  <c r="M56" i="4" s="1"/>
  <c r="L58" i="4"/>
  <c r="L56" i="4" s="1"/>
  <c r="P57" i="4"/>
  <c r="O57" i="4"/>
  <c r="O54" i="4"/>
  <c r="N54" i="4"/>
  <c r="M54" i="4"/>
  <c r="P54" i="4" s="1"/>
  <c r="L54" i="4"/>
  <c r="N49" i="4"/>
  <c r="M49" i="4"/>
  <c r="P49" i="4" s="1"/>
  <c r="L49" i="4"/>
  <c r="O49" i="4" s="1"/>
  <c r="P48" i="4"/>
  <c r="O48" i="4"/>
  <c r="N46" i="4"/>
  <c r="N44" i="4" s="1"/>
  <c r="M46" i="4"/>
  <c r="M44" i="4" s="1"/>
  <c r="L46" i="4"/>
  <c r="P45" i="4"/>
  <c r="O45" i="4"/>
  <c r="P42" i="4"/>
  <c r="N42" i="4"/>
  <c r="M42" i="4"/>
  <c r="L42" i="4"/>
  <c r="O42" i="4" s="1"/>
  <c r="N36" i="4"/>
  <c r="M36" i="4"/>
  <c r="P36" i="4" s="1"/>
  <c r="P35" i="4"/>
  <c r="N35" i="4"/>
  <c r="M35" i="4"/>
  <c r="M34" i="4" s="1"/>
  <c r="P34" i="4" s="1"/>
  <c r="L35" i="4"/>
  <c r="O35" i="4" s="1"/>
  <c r="P33" i="4"/>
  <c r="M33" i="4"/>
  <c r="P32" i="4"/>
  <c r="O32" i="4"/>
  <c r="N32" i="4"/>
  <c r="M32" i="4"/>
  <c r="M31" i="4" s="1"/>
  <c r="P31" i="4" s="1"/>
  <c r="L32" i="4"/>
  <c r="M30" i="4"/>
  <c r="P30" i="4" s="1"/>
  <c r="N29" i="4"/>
  <c r="L29" i="4"/>
  <c r="O29" i="4" s="1"/>
  <c r="O25" i="4"/>
  <c r="N25" i="4"/>
  <c r="M25" i="4"/>
  <c r="L25" i="4"/>
  <c r="N22" i="4"/>
  <c r="N19" i="4" s="1"/>
  <c r="M22" i="4"/>
  <c r="P22" i="4" s="1"/>
  <c r="L22" i="4"/>
  <c r="O22" i="4" s="1"/>
  <c r="N15" i="4"/>
  <c r="M15" i="4"/>
  <c r="L15" i="4"/>
  <c r="O15" i="4" s="1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P808" i="3"/>
  <c r="O808" i="3"/>
  <c r="N808" i="3"/>
  <c r="M808" i="3"/>
  <c r="L808" i="3"/>
  <c r="O807" i="3"/>
  <c r="N807" i="3"/>
  <c r="N805" i="3" s="1"/>
  <c r="M807" i="3"/>
  <c r="L807" i="3"/>
  <c r="P806" i="3"/>
  <c r="N806" i="3"/>
  <c r="M806" i="3"/>
  <c r="L806" i="3"/>
  <c r="O806" i="3" s="1"/>
  <c r="K804" i="3"/>
  <c r="J804" i="3"/>
  <c r="K802" i="3"/>
  <c r="J801" i="3"/>
  <c r="J785" i="3" s="1"/>
  <c r="J800" i="3"/>
  <c r="I800" i="3"/>
  <c r="P798" i="3"/>
  <c r="O798" i="3"/>
  <c r="P797" i="3"/>
  <c r="O797" i="3"/>
  <c r="P796" i="3"/>
  <c r="O796" i="3"/>
  <c r="N796" i="3"/>
  <c r="M796" i="3"/>
  <c r="L796" i="3"/>
  <c r="P791" i="3"/>
  <c r="N791" i="3"/>
  <c r="L791" i="3"/>
  <c r="P790" i="3"/>
  <c r="O790" i="3"/>
  <c r="P789" i="3"/>
  <c r="N789" i="3"/>
  <c r="M789" i="3"/>
  <c r="L789" i="3"/>
  <c r="O789" i="3" s="1"/>
  <c r="N788" i="3"/>
  <c r="N786" i="3" s="1"/>
  <c r="M788" i="3"/>
  <c r="P787" i="3"/>
  <c r="N787" i="3"/>
  <c r="M787" i="3"/>
  <c r="L787" i="3"/>
  <c r="P782" i="3"/>
  <c r="O782" i="3"/>
  <c r="P781" i="3"/>
  <c r="O781" i="3"/>
  <c r="P780" i="3"/>
  <c r="O780" i="3"/>
  <c r="N780" i="3"/>
  <c r="M780" i="3"/>
  <c r="L780" i="3"/>
  <c r="P775" i="3"/>
  <c r="O775" i="3"/>
  <c r="N775" i="3"/>
  <c r="P774" i="3"/>
  <c r="O774" i="3"/>
  <c r="P773" i="3"/>
  <c r="O773" i="3"/>
  <c r="N773" i="3"/>
  <c r="M773" i="3"/>
  <c r="L773" i="3"/>
  <c r="P772" i="3"/>
  <c r="O772" i="3"/>
  <c r="N772" i="3"/>
  <c r="N770" i="3" s="1"/>
  <c r="M772" i="3"/>
  <c r="L772" i="3"/>
  <c r="O771" i="3"/>
  <c r="N771" i="3"/>
  <c r="M771" i="3"/>
  <c r="L771" i="3"/>
  <c r="L770" i="3"/>
  <c r="O770" i="3" s="1"/>
  <c r="K769" i="3"/>
  <c r="J769" i="3"/>
  <c r="P766" i="3"/>
  <c r="O766" i="3"/>
  <c r="P765" i="3"/>
  <c r="O765" i="3"/>
  <c r="P764" i="3"/>
  <c r="O764" i="3"/>
  <c r="N764" i="3"/>
  <c r="M764" i="3"/>
  <c r="L764" i="3"/>
  <c r="P759" i="3"/>
  <c r="O759" i="3"/>
  <c r="N759" i="3"/>
  <c r="P758" i="3"/>
  <c r="O758" i="3"/>
  <c r="P757" i="3"/>
  <c r="O757" i="3"/>
  <c r="N757" i="3"/>
  <c r="M757" i="3"/>
  <c r="L757" i="3"/>
  <c r="P756" i="3"/>
  <c r="O756" i="3"/>
  <c r="N756" i="3"/>
  <c r="N754" i="3" s="1"/>
  <c r="M756" i="3"/>
  <c r="L756" i="3"/>
  <c r="O755" i="3"/>
  <c r="N755" i="3"/>
  <c r="M755" i="3"/>
  <c r="P755" i="3" s="1"/>
  <c r="L755" i="3"/>
  <c r="M754" i="3"/>
  <c r="P754" i="3" s="1"/>
  <c r="L754" i="3"/>
  <c r="O754" i="3" s="1"/>
  <c r="K753" i="3"/>
  <c r="J753" i="3"/>
  <c r="P749" i="3"/>
  <c r="O749" i="3"/>
  <c r="P748" i="3"/>
  <c r="O748" i="3"/>
  <c r="P747" i="3"/>
  <c r="O747" i="3"/>
  <c r="N747" i="3"/>
  <c r="M747" i="3"/>
  <c r="L747" i="3"/>
  <c r="P742" i="3"/>
  <c r="O742" i="3"/>
  <c r="N742" i="3"/>
  <c r="P741" i="3"/>
  <c r="O741" i="3"/>
  <c r="P740" i="3"/>
  <c r="O740" i="3"/>
  <c r="N740" i="3"/>
  <c r="M740" i="3"/>
  <c r="L740" i="3"/>
  <c r="P739" i="3"/>
  <c r="O739" i="3"/>
  <c r="N739" i="3"/>
  <c r="N737" i="3" s="1"/>
  <c r="M739" i="3"/>
  <c r="L739" i="3"/>
  <c r="O738" i="3"/>
  <c r="N738" i="3"/>
  <c r="M738" i="3"/>
  <c r="P738" i="3" s="1"/>
  <c r="L738" i="3"/>
  <c r="M737" i="3"/>
  <c r="P737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O695" i="3"/>
  <c r="N695" i="3"/>
  <c r="M695" i="3"/>
  <c r="L695" i="3"/>
  <c r="P690" i="3"/>
  <c r="N690" i="3"/>
  <c r="L690" i="3"/>
  <c r="O690" i="3" s="1"/>
  <c r="P688" i="3"/>
  <c r="N688" i="3"/>
  <c r="M688" i="3"/>
  <c r="N687" i="3"/>
  <c r="N685" i="3" s="1"/>
  <c r="M687" i="3"/>
  <c r="P686" i="3"/>
  <c r="N686" i="3"/>
  <c r="M686" i="3"/>
  <c r="L686" i="3"/>
  <c r="O686" i="3" s="1"/>
  <c r="J679" i="3"/>
  <c r="J678" i="3" s="1"/>
  <c r="I678" i="3"/>
  <c r="K678" i="3" s="1"/>
  <c r="J675" i="3"/>
  <c r="I671" i="3"/>
  <c r="K671" i="3" s="1"/>
  <c r="I670" i="3"/>
  <c r="K670" i="3" s="1"/>
  <c r="J669" i="3"/>
  <c r="I669" i="3"/>
  <c r="K673" i="3" s="1"/>
  <c r="P667" i="3"/>
  <c r="O667" i="3"/>
  <c r="P666" i="3"/>
  <c r="O666" i="3"/>
  <c r="P665" i="3"/>
  <c r="N665" i="3"/>
  <c r="M665" i="3"/>
  <c r="L665" i="3"/>
  <c r="O665" i="3" s="1"/>
  <c r="N664" i="3"/>
  <c r="P660" i="3"/>
  <c r="N660" i="3"/>
  <c r="L660" i="3"/>
  <c r="L658" i="3" s="1"/>
  <c r="O658" i="3" s="1"/>
  <c r="P659" i="3"/>
  <c r="O659" i="3"/>
  <c r="P658" i="3"/>
  <c r="N658" i="3"/>
  <c r="M658" i="3"/>
  <c r="P657" i="3"/>
  <c r="N657" i="3"/>
  <c r="N655" i="3" s="1"/>
  <c r="M657" i="3"/>
  <c r="P656" i="3"/>
  <c r="O656" i="3"/>
  <c r="N656" i="3"/>
  <c r="M656" i="3"/>
  <c r="L656" i="3"/>
  <c r="P655" i="3"/>
  <c r="M655" i="3"/>
  <c r="J654" i="3"/>
  <c r="K652" i="3"/>
  <c r="J652" i="3"/>
  <c r="J651" i="3"/>
  <c r="J628" i="3" s="1"/>
  <c r="I651" i="3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P640" i="3"/>
  <c r="O640" i="3"/>
  <c r="P639" i="3"/>
  <c r="N639" i="3"/>
  <c r="M639" i="3"/>
  <c r="P634" i="3"/>
  <c r="N634" i="3"/>
  <c r="N631" i="3" s="1"/>
  <c r="N629" i="3" s="1"/>
  <c r="L634" i="3"/>
  <c r="L632" i="3" s="1"/>
  <c r="P633" i="3"/>
  <c r="O633" i="3"/>
  <c r="P632" i="3"/>
  <c r="M632" i="3"/>
  <c r="M631" i="3"/>
  <c r="P630" i="3"/>
  <c r="N630" i="3"/>
  <c r="M630" i="3"/>
  <c r="L630" i="3"/>
  <c r="O630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5" i="3"/>
  <c r="J594" i="3"/>
  <c r="I594" i="3"/>
  <c r="K594" i="3" s="1"/>
  <c r="J593" i="3"/>
  <c r="J592" i="3" s="1"/>
  <c r="I593" i="3"/>
  <c r="J583" i="3"/>
  <c r="J582" i="3"/>
  <c r="J577" i="3"/>
  <c r="I577" i="3"/>
  <c r="K577" i="3" s="1"/>
  <c r="J576" i="3"/>
  <c r="I576" i="3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J559" i="3"/>
  <c r="P557" i="3"/>
  <c r="L557" i="3"/>
  <c r="O557" i="3" s="1"/>
  <c r="P556" i="3"/>
  <c r="O556" i="3"/>
  <c r="P555" i="3"/>
  <c r="N555" i="3"/>
  <c r="M555" i="3"/>
  <c r="N553" i="3"/>
  <c r="P549" i="3"/>
  <c r="N549" i="3"/>
  <c r="L549" i="3"/>
  <c r="O549" i="3" s="1"/>
  <c r="P548" i="3"/>
  <c r="O548" i="3"/>
  <c r="P547" i="3"/>
  <c r="N547" i="3"/>
  <c r="M547" i="3"/>
  <c r="P546" i="3"/>
  <c r="N546" i="3"/>
  <c r="N544" i="3" s="1"/>
  <c r="M546" i="3"/>
  <c r="P545" i="3"/>
  <c r="O545" i="3"/>
  <c r="N545" i="3"/>
  <c r="M545" i="3"/>
  <c r="L545" i="3"/>
  <c r="P544" i="3"/>
  <c r="M544" i="3"/>
  <c r="J543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P535" i="3"/>
  <c r="L535" i="3"/>
  <c r="O535" i="3" s="1"/>
  <c r="P534" i="3"/>
  <c r="O534" i="3"/>
  <c r="P533" i="3"/>
  <c r="N533" i="3"/>
  <c r="M533" i="3"/>
  <c r="P528" i="3"/>
  <c r="N528" i="3"/>
  <c r="L528" i="3"/>
  <c r="P527" i="3"/>
  <c r="O527" i="3"/>
  <c r="P526" i="3"/>
  <c r="N526" i="3"/>
  <c r="M526" i="3"/>
  <c r="P525" i="3"/>
  <c r="N525" i="3"/>
  <c r="M525" i="3"/>
  <c r="P524" i="3"/>
  <c r="O524" i="3"/>
  <c r="N524" i="3"/>
  <c r="N523" i="3" s="1"/>
  <c r="M524" i="3"/>
  <c r="L524" i="3"/>
  <c r="M523" i="3"/>
  <c r="P523" i="3" s="1"/>
  <c r="K517" i="3"/>
  <c r="J517" i="3"/>
  <c r="J501" i="3" s="1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P506" i="3"/>
  <c r="O506" i="3"/>
  <c r="P505" i="3"/>
  <c r="O505" i="3"/>
  <c r="N505" i="3"/>
  <c r="M505" i="3"/>
  <c r="L505" i="3"/>
  <c r="O504" i="3"/>
  <c r="N504" i="3"/>
  <c r="M504" i="3"/>
  <c r="M502" i="3" s="1"/>
  <c r="P502" i="3" s="1"/>
  <c r="L504" i="3"/>
  <c r="P503" i="3"/>
  <c r="N503" i="3"/>
  <c r="M503" i="3"/>
  <c r="L503" i="3"/>
  <c r="O503" i="3" s="1"/>
  <c r="N502" i="3"/>
  <c r="L502" i="3"/>
  <c r="O502" i="3" s="1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P477" i="3"/>
  <c r="N477" i="3"/>
  <c r="M477" i="3"/>
  <c r="N476" i="3"/>
  <c r="N472" i="3" s="1"/>
  <c r="N470" i="3" s="1"/>
  <c r="P472" i="3"/>
  <c r="L472" i="3"/>
  <c r="O472" i="3" s="1"/>
  <c r="P471" i="3"/>
  <c r="O471" i="3"/>
  <c r="P470" i="3"/>
  <c r="M470" i="3"/>
  <c r="P469" i="3"/>
  <c r="N469" i="3"/>
  <c r="N467" i="3" s="1"/>
  <c r="M469" i="3"/>
  <c r="O468" i="3"/>
  <c r="N468" i="3"/>
  <c r="M468" i="3"/>
  <c r="P468" i="3" s="1"/>
  <c r="L468" i="3"/>
  <c r="J466" i="3"/>
  <c r="I466" i="3"/>
  <c r="K466" i="3" s="1"/>
  <c r="J465" i="3"/>
  <c r="I465" i="3"/>
  <c r="K465" i="3" s="1"/>
  <c r="I464" i="3"/>
  <c r="I463" i="3"/>
  <c r="I462" i="3"/>
  <c r="K462" i="3" s="1"/>
  <c r="I460" i="3"/>
  <c r="K458" i="3"/>
  <c r="P456" i="3"/>
  <c r="L456" i="3"/>
  <c r="O456" i="3" s="1"/>
  <c r="P455" i="3"/>
  <c r="O455" i="3"/>
  <c r="N454" i="3"/>
  <c r="M454" i="3"/>
  <c r="P454" i="3" s="1"/>
  <c r="N453" i="3"/>
  <c r="P449" i="3"/>
  <c r="N449" i="3"/>
  <c r="L449" i="3"/>
  <c r="P448" i="3"/>
  <c r="O448" i="3"/>
  <c r="M447" i="3"/>
  <c r="P447" i="3" s="1"/>
  <c r="M446" i="3"/>
  <c r="P446" i="3" s="1"/>
  <c r="P445" i="3"/>
  <c r="O445" i="3"/>
  <c r="N445" i="3"/>
  <c r="M445" i="3"/>
  <c r="L445" i="3"/>
  <c r="J443" i="3"/>
  <c r="J442" i="3"/>
  <c r="I441" i="3"/>
  <c r="K441" i="3" s="1"/>
  <c r="I440" i="3"/>
  <c r="I439" i="3"/>
  <c r="K439" i="3" s="1"/>
  <c r="I438" i="3"/>
  <c r="K438" i="3" s="1"/>
  <c r="I437" i="3"/>
  <c r="K437" i="3" s="1"/>
  <c r="I435" i="3"/>
  <c r="J434" i="3"/>
  <c r="P431" i="3"/>
  <c r="L431" i="3"/>
  <c r="O431" i="3" s="1"/>
  <c r="P430" i="3"/>
  <c r="O430" i="3"/>
  <c r="P429" i="3"/>
  <c r="N429" i="3"/>
  <c r="M429" i="3"/>
  <c r="N428" i="3"/>
  <c r="P424" i="3"/>
  <c r="N424" i="3"/>
  <c r="L424" i="3"/>
  <c r="L422" i="3" s="1"/>
  <c r="O422" i="3" s="1"/>
  <c r="P423" i="3"/>
  <c r="O423" i="3"/>
  <c r="P422" i="3"/>
  <c r="N422" i="3"/>
  <c r="M422" i="3"/>
  <c r="N421" i="3"/>
  <c r="M421" i="3"/>
  <c r="P421" i="3" s="1"/>
  <c r="N420" i="3"/>
  <c r="N419" i="3" s="1"/>
  <c r="M420" i="3"/>
  <c r="L420" i="3"/>
  <c r="O420" i="3" s="1"/>
  <c r="J418" i="3"/>
  <c r="K413" i="3"/>
  <c r="K412" i="3"/>
  <c r="N410" i="3"/>
  <c r="N408" i="3" s="1"/>
  <c r="M410" i="3"/>
  <c r="P410" i="3" s="1"/>
  <c r="L410" i="3"/>
  <c r="O410" i="3" s="1"/>
  <c r="P409" i="3"/>
  <c r="O409" i="3"/>
  <c r="N407" i="3"/>
  <c r="N405" i="3" s="1"/>
  <c r="M407" i="3"/>
  <c r="M405" i="3" s="1"/>
  <c r="P405" i="3" s="1"/>
  <c r="L407" i="3"/>
  <c r="L405" i="3" s="1"/>
  <c r="O405" i="3" s="1"/>
  <c r="P406" i="3"/>
  <c r="O406" i="3"/>
  <c r="P403" i="3"/>
  <c r="O403" i="3"/>
  <c r="N403" i="3"/>
  <c r="M403" i="3"/>
  <c r="L403" i="3"/>
  <c r="J401" i="3"/>
  <c r="I401" i="3"/>
  <c r="K401" i="3" s="1"/>
  <c r="K400" i="3"/>
  <c r="K399" i="3"/>
  <c r="N397" i="3"/>
  <c r="N395" i="3" s="1"/>
  <c r="M397" i="3"/>
  <c r="L397" i="3"/>
  <c r="O397" i="3" s="1"/>
  <c r="P396" i="3"/>
  <c r="O396" i="3"/>
  <c r="N394" i="3"/>
  <c r="M394" i="3"/>
  <c r="M392" i="3" s="1"/>
  <c r="P392" i="3" s="1"/>
  <c r="L394" i="3"/>
  <c r="O394" i="3" s="1"/>
  <c r="P393" i="3"/>
  <c r="O393" i="3"/>
  <c r="P390" i="3"/>
  <c r="N390" i="3"/>
  <c r="M390" i="3"/>
  <c r="L390" i="3"/>
  <c r="O390" i="3" s="1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P352" i="3"/>
  <c r="O352" i="3"/>
  <c r="N350" i="3"/>
  <c r="N348" i="3" s="1"/>
  <c r="M350" i="3"/>
  <c r="L350" i="3"/>
  <c r="L348" i="3" s="1"/>
  <c r="P349" i="3"/>
  <c r="O349" i="3"/>
  <c r="N346" i="3"/>
  <c r="M346" i="3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O336" i="3" s="1"/>
  <c r="P335" i="3"/>
  <c r="O335" i="3"/>
  <c r="N333" i="3"/>
  <c r="M333" i="3"/>
  <c r="M331" i="3" s="1"/>
  <c r="L333" i="3"/>
  <c r="L331" i="3" s="1"/>
  <c r="P332" i="3"/>
  <c r="O332" i="3"/>
  <c r="N329" i="3"/>
  <c r="M329" i="3"/>
  <c r="L329" i="3"/>
  <c r="O329" i="3" s="1"/>
  <c r="I327" i="3"/>
  <c r="I325" i="3"/>
  <c r="K325" i="3" s="1"/>
  <c r="N323" i="3"/>
  <c r="N321" i="3" s="1"/>
  <c r="M323" i="3"/>
  <c r="L323" i="3"/>
  <c r="O323" i="3" s="1"/>
  <c r="P322" i="3"/>
  <c r="O322" i="3"/>
  <c r="N320" i="3"/>
  <c r="N318" i="3" s="1"/>
  <c r="M320" i="3"/>
  <c r="L320" i="3"/>
  <c r="L318" i="3" s="1"/>
  <c r="O318" i="3" s="1"/>
  <c r="P319" i="3"/>
  <c r="O319" i="3"/>
  <c r="P316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K309" i="3" s="1"/>
  <c r="N306" i="3"/>
  <c r="M306" i="3"/>
  <c r="P306" i="3" s="1"/>
  <c r="L306" i="3"/>
  <c r="L304" i="3" s="1"/>
  <c r="O304" i="3" s="1"/>
  <c r="P305" i="3"/>
  <c r="O305" i="3"/>
  <c r="N303" i="3"/>
  <c r="N301" i="3" s="1"/>
  <c r="M303" i="3"/>
  <c r="L303" i="3"/>
  <c r="P302" i="3"/>
  <c r="O302" i="3"/>
  <c r="P299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N285" i="3"/>
  <c r="N283" i="3" s="1"/>
  <c r="M285" i="3"/>
  <c r="L285" i="3"/>
  <c r="O285" i="3" s="1"/>
  <c r="P284" i="3"/>
  <c r="O284" i="3"/>
  <c r="N282" i="3"/>
  <c r="N280" i="3" s="1"/>
  <c r="M282" i="3"/>
  <c r="L282" i="3"/>
  <c r="P281" i="3"/>
  <c r="O281" i="3"/>
  <c r="P278" i="3"/>
  <c r="N278" i="3"/>
  <c r="M278" i="3"/>
  <c r="L278" i="3"/>
  <c r="J276" i="3"/>
  <c r="I271" i="3"/>
  <c r="N269" i="3"/>
  <c r="N267" i="3" s="1"/>
  <c r="M269" i="3"/>
  <c r="L269" i="3"/>
  <c r="P268" i="3"/>
  <c r="O268" i="3"/>
  <c r="N266" i="3"/>
  <c r="N264" i="3" s="1"/>
  <c r="M266" i="3"/>
  <c r="L266" i="3"/>
  <c r="L264" i="3" s="1"/>
  <c r="P265" i="3"/>
  <c r="O265" i="3"/>
  <c r="N262" i="3"/>
  <c r="M262" i="3"/>
  <c r="L262" i="3"/>
  <c r="O262" i="3" s="1"/>
  <c r="J260" i="3"/>
  <c r="K258" i="3"/>
  <c r="K257" i="3"/>
  <c r="I255" i="3"/>
  <c r="L253" i="3"/>
  <c r="L252" i="3"/>
  <c r="L251" i="3"/>
  <c r="L250" i="3"/>
  <c r="P249" i="3"/>
  <c r="N249" i="3"/>
  <c r="J248" i="3"/>
  <c r="K247" i="3"/>
  <c r="K246" i="3"/>
  <c r="I244" i="3"/>
  <c r="K244" i="3" s="1"/>
  <c r="L242" i="3"/>
  <c r="L241" i="3"/>
  <c r="L240" i="3"/>
  <c r="L239" i="3"/>
  <c r="P238" i="3"/>
  <c r="N238" i="3"/>
  <c r="J237" i="3"/>
  <c r="J236" i="3"/>
  <c r="I236" i="3"/>
  <c r="K236" i="3" s="1"/>
  <c r="K235" i="3"/>
  <c r="J235" i="3"/>
  <c r="I235" i="3"/>
  <c r="J233" i="3"/>
  <c r="N231" i="3"/>
  <c r="N230" i="3"/>
  <c r="N229" i="3"/>
  <c r="N228" i="3"/>
  <c r="N227" i="3"/>
  <c r="J226" i="3"/>
  <c r="I225" i="3"/>
  <c r="K225" i="3" s="1"/>
  <c r="I224" i="3"/>
  <c r="I216" i="3" s="1"/>
  <c r="K216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M189" i="3"/>
  <c r="P189" i="3" s="1"/>
  <c r="L189" i="3"/>
  <c r="O189" i="3" s="1"/>
  <c r="P188" i="3"/>
  <c r="O188" i="3"/>
  <c r="N186" i="3"/>
  <c r="N184" i="3" s="1"/>
  <c r="M186" i="3"/>
  <c r="L186" i="3"/>
  <c r="P185" i="3"/>
  <c r="O185" i="3"/>
  <c r="P182" i="3"/>
  <c r="N182" i="3"/>
  <c r="M182" i="3"/>
  <c r="L182" i="3"/>
  <c r="O182" i="3" s="1"/>
  <c r="J180" i="3"/>
  <c r="J177" i="3"/>
  <c r="I176" i="3"/>
  <c r="I174" i="3" s="1"/>
  <c r="K174" i="3" s="1"/>
  <c r="J174" i="3"/>
  <c r="N173" i="3"/>
  <c r="N171" i="3" s="1"/>
  <c r="M173" i="3"/>
  <c r="L173" i="3"/>
  <c r="O173" i="3" s="1"/>
  <c r="P172" i="3"/>
  <c r="O172" i="3"/>
  <c r="N170" i="3"/>
  <c r="N168" i="3" s="1"/>
  <c r="M170" i="3"/>
  <c r="L170" i="3"/>
  <c r="P169" i="3"/>
  <c r="O169" i="3"/>
  <c r="P166" i="3"/>
  <c r="N166" i="3"/>
  <c r="M166" i="3"/>
  <c r="L166" i="3"/>
  <c r="O166" i="3" s="1"/>
  <c r="J164" i="3"/>
  <c r="I159" i="3"/>
  <c r="K159" i="3" s="1"/>
  <c r="N157" i="3"/>
  <c r="N155" i="3" s="1"/>
  <c r="M157" i="3"/>
  <c r="L157" i="3"/>
  <c r="P156" i="3"/>
  <c r="O156" i="3"/>
  <c r="N154" i="3"/>
  <c r="M154" i="3"/>
  <c r="L154" i="3"/>
  <c r="L152" i="3" s="1"/>
  <c r="P153" i="3"/>
  <c r="O153" i="3"/>
  <c r="N150" i="3"/>
  <c r="M150" i="3"/>
  <c r="L150" i="3"/>
  <c r="O150" i="3" s="1"/>
  <c r="J148" i="3"/>
  <c r="I146" i="3"/>
  <c r="K146" i="3" s="1"/>
  <c r="I145" i="3"/>
  <c r="I143" i="3" s="1"/>
  <c r="I144" i="3"/>
  <c r="K144" i="3" s="1"/>
  <c r="N140" i="3"/>
  <c r="N138" i="3" s="1"/>
  <c r="M140" i="3"/>
  <c r="L140" i="3"/>
  <c r="P139" i="3"/>
  <c r="O139" i="3"/>
  <c r="N137" i="3"/>
  <c r="N135" i="3" s="1"/>
  <c r="M137" i="3"/>
  <c r="L137" i="3"/>
  <c r="P136" i="3"/>
  <c r="O136" i="3"/>
  <c r="P133" i="3"/>
  <c r="O133" i="3"/>
  <c r="N133" i="3"/>
  <c r="M133" i="3"/>
  <c r="L133" i="3"/>
  <c r="J130" i="3"/>
  <c r="N127" i="3"/>
  <c r="N125" i="3" s="1"/>
  <c r="M127" i="3"/>
  <c r="L127" i="3"/>
  <c r="O127" i="3" s="1"/>
  <c r="P126" i="3"/>
  <c r="O126" i="3"/>
  <c r="N124" i="3"/>
  <c r="M124" i="3"/>
  <c r="L124" i="3"/>
  <c r="P123" i="3"/>
  <c r="O123" i="3"/>
  <c r="N120" i="3"/>
  <c r="M120" i="3"/>
  <c r="L120" i="3"/>
  <c r="O120" i="3" s="1"/>
  <c r="K118" i="3"/>
  <c r="J118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J98" i="3"/>
  <c r="I98" i="3"/>
  <c r="K98" i="3" s="1"/>
  <c r="N96" i="3"/>
  <c r="N94" i="3" s="1"/>
  <c r="M96" i="3"/>
  <c r="L96" i="3"/>
  <c r="L94" i="3" s="1"/>
  <c r="O94" i="3" s="1"/>
  <c r="P95" i="3"/>
  <c r="O95" i="3"/>
  <c r="N93" i="3"/>
  <c r="N91" i="3" s="1"/>
  <c r="M93" i="3"/>
  <c r="L93" i="3"/>
  <c r="L91" i="3" s="1"/>
  <c r="P92" i="3"/>
  <c r="O92" i="3"/>
  <c r="N89" i="3"/>
  <c r="M89" i="3"/>
  <c r="L89" i="3"/>
  <c r="O89" i="3" s="1"/>
  <c r="J86" i="3"/>
  <c r="I84" i="3"/>
  <c r="K84" i="3" s="1"/>
  <c r="I83" i="3"/>
  <c r="K83" i="3" s="1"/>
  <c r="I82" i="3"/>
  <c r="K82" i="3" s="1"/>
  <c r="I81" i="3"/>
  <c r="K81" i="3" s="1"/>
  <c r="I80" i="3"/>
  <c r="I79" i="3"/>
  <c r="I78" i="3"/>
  <c r="K78" i="3" s="1"/>
  <c r="J77" i="3"/>
  <c r="J76" i="3"/>
  <c r="J64" i="3" s="1"/>
  <c r="N74" i="3"/>
  <c r="N72" i="3" s="1"/>
  <c r="M74" i="3"/>
  <c r="P74" i="3" s="1"/>
  <c r="L74" i="3"/>
  <c r="P73" i="3"/>
  <c r="O73" i="3"/>
  <c r="N71" i="3"/>
  <c r="N69" i="3" s="1"/>
  <c r="M71" i="3"/>
  <c r="L71" i="3"/>
  <c r="P70" i="3"/>
  <c r="O70" i="3"/>
  <c r="N67" i="3"/>
  <c r="M67" i="3"/>
  <c r="P67" i="3" s="1"/>
  <c r="L67" i="3"/>
  <c r="J65" i="3"/>
  <c r="N61" i="3"/>
  <c r="N59" i="3" s="1"/>
  <c r="M61" i="3"/>
  <c r="M59" i="3" s="1"/>
  <c r="L61" i="3"/>
  <c r="P60" i="3"/>
  <c r="O60" i="3"/>
  <c r="N58" i="3"/>
  <c r="M58" i="3"/>
  <c r="L58" i="3"/>
  <c r="L56" i="3" s="1"/>
  <c r="P57" i="3"/>
  <c r="O57" i="3"/>
  <c r="N54" i="3"/>
  <c r="M54" i="3"/>
  <c r="P54" i="3" s="1"/>
  <c r="L54" i="3"/>
  <c r="O54" i="3" s="1"/>
  <c r="N49" i="3"/>
  <c r="M49" i="3"/>
  <c r="L49" i="3"/>
  <c r="O49" i="3" s="1"/>
  <c r="P48" i="3"/>
  <c r="O48" i="3"/>
  <c r="N46" i="3"/>
  <c r="N44" i="3" s="1"/>
  <c r="M46" i="3"/>
  <c r="L46" i="3"/>
  <c r="L44" i="3" s="1"/>
  <c r="P45" i="3"/>
  <c r="O45" i="3"/>
  <c r="P42" i="3"/>
  <c r="N42" i="3"/>
  <c r="M42" i="3"/>
  <c r="L42" i="3"/>
  <c r="N36" i="3"/>
  <c r="M36" i="3"/>
  <c r="P36" i="3" s="1"/>
  <c r="N35" i="3"/>
  <c r="N34" i="3" s="1"/>
  <c r="M35" i="3"/>
  <c r="P35" i="3" s="1"/>
  <c r="L35" i="3"/>
  <c r="O35" i="3" s="1"/>
  <c r="P34" i="3"/>
  <c r="M34" i="3"/>
  <c r="P33" i="3"/>
  <c r="M33" i="3"/>
  <c r="P32" i="3"/>
  <c r="O32" i="3"/>
  <c r="N32" i="3"/>
  <c r="M32" i="3"/>
  <c r="L32" i="3"/>
  <c r="M31" i="3"/>
  <c r="P31" i="3" s="1"/>
  <c r="M30" i="3"/>
  <c r="P30" i="3" s="1"/>
  <c r="O29" i="3"/>
  <c r="M29" i="3"/>
  <c r="P29" i="3" s="1"/>
  <c r="L29" i="3"/>
  <c r="M28" i="3"/>
  <c r="P28" i="3" s="1"/>
  <c r="N25" i="3"/>
  <c r="M25" i="3"/>
  <c r="P25" i="3" s="1"/>
  <c r="L25" i="3"/>
  <c r="O25" i="3" s="1"/>
  <c r="P22" i="3"/>
  <c r="O22" i="3"/>
  <c r="N22" i="3"/>
  <c r="M22" i="3"/>
  <c r="L22" i="3"/>
  <c r="M19" i="3"/>
  <c r="P19" i="3" s="1"/>
  <c r="N15" i="3"/>
  <c r="M12" i="3"/>
  <c r="P12" i="3" s="1"/>
  <c r="L12" i="3"/>
  <c r="O12" i="3" s="1"/>
  <c r="L639" i="7" l="1"/>
  <c r="O639" i="7" s="1"/>
  <c r="L788" i="8"/>
  <c r="O788" i="8" s="1"/>
  <c r="L533" i="7"/>
  <c r="O533" i="7" s="1"/>
  <c r="L639" i="12"/>
  <c r="O639" i="12" s="1"/>
  <c r="L639" i="18"/>
  <c r="O639" i="18" s="1"/>
  <c r="L19" i="15"/>
  <c r="O19" i="15" s="1"/>
  <c r="L533" i="11"/>
  <c r="O533" i="11" s="1"/>
  <c r="L447" i="12"/>
  <c r="O447" i="12" s="1"/>
  <c r="L429" i="11"/>
  <c r="O429" i="11" s="1"/>
  <c r="L477" i="13"/>
  <c r="O477" i="13" s="1"/>
  <c r="L454" i="10"/>
  <c r="O454" i="10" s="1"/>
  <c r="L555" i="8"/>
  <c r="O555" i="8" s="1"/>
  <c r="J721" i="17"/>
  <c r="L555" i="13"/>
  <c r="O555" i="13" s="1"/>
  <c r="M167" i="16"/>
  <c r="M165" i="16" s="1"/>
  <c r="L639" i="10"/>
  <c r="O639" i="10" s="1"/>
  <c r="L788" i="18"/>
  <c r="O788" i="18" s="1"/>
  <c r="L547" i="3"/>
  <c r="O547" i="3" s="1"/>
  <c r="M321" i="18"/>
  <c r="P321" i="18" s="1"/>
  <c r="L68" i="16"/>
  <c r="L66" i="16" s="1"/>
  <c r="K287" i="17"/>
  <c r="L330" i="17"/>
  <c r="L328" i="17" s="1"/>
  <c r="P157" i="18"/>
  <c r="I148" i="17"/>
  <c r="K148" i="17" s="1"/>
  <c r="L555" i="6"/>
  <c r="O555" i="6" s="1"/>
  <c r="N167" i="16"/>
  <c r="N165" i="16" s="1"/>
  <c r="K204" i="16"/>
  <c r="L470" i="15"/>
  <c r="O470" i="15" s="1"/>
  <c r="L347" i="18"/>
  <c r="L345" i="18" s="1"/>
  <c r="K355" i="18"/>
  <c r="K560" i="18"/>
  <c r="K647" i="18"/>
  <c r="M121" i="16"/>
  <c r="M119" i="16" s="1"/>
  <c r="L525" i="16"/>
  <c r="O525" i="16" s="1"/>
  <c r="K381" i="16"/>
  <c r="N404" i="17"/>
  <c r="N402" i="17" s="1"/>
  <c r="I297" i="17"/>
  <c r="K297" i="17" s="1"/>
  <c r="N167" i="17"/>
  <c r="N165" i="17" s="1"/>
  <c r="L68" i="18"/>
  <c r="L66" i="18" s="1"/>
  <c r="L121" i="18"/>
  <c r="O121" i="18" s="1"/>
  <c r="P184" i="18"/>
  <c r="N404" i="18"/>
  <c r="N402" i="18" s="1"/>
  <c r="L155" i="16"/>
  <c r="O155" i="16" s="1"/>
  <c r="L122" i="18"/>
  <c r="O122" i="18" s="1"/>
  <c r="L229" i="18"/>
  <c r="O61" i="18"/>
  <c r="M304" i="18"/>
  <c r="P304" i="18" s="1"/>
  <c r="O333" i="18"/>
  <c r="K822" i="18"/>
  <c r="K828" i="18"/>
  <c r="L632" i="13"/>
  <c r="O632" i="13" s="1"/>
  <c r="N68" i="14"/>
  <c r="N66" i="14" s="1"/>
  <c r="N121" i="14"/>
  <c r="N119" i="14" s="1"/>
  <c r="L121" i="16"/>
  <c r="L119" i="16" s="1"/>
  <c r="M167" i="17"/>
  <c r="K378" i="17"/>
  <c r="P58" i="18"/>
  <c r="O186" i="18"/>
  <c r="O353" i="18"/>
  <c r="K577" i="18"/>
  <c r="K700" i="18"/>
  <c r="I260" i="16"/>
  <c r="K260" i="16" s="1"/>
  <c r="L152" i="17"/>
  <c r="O152" i="17" s="1"/>
  <c r="N55" i="18"/>
  <c r="N53" i="18" s="1"/>
  <c r="K726" i="18"/>
  <c r="P264" i="18"/>
  <c r="K369" i="17"/>
  <c r="K372" i="17"/>
  <c r="L33" i="18"/>
  <c r="O33" i="18" s="1"/>
  <c r="M134" i="18"/>
  <c r="M132" i="18" s="1"/>
  <c r="N317" i="18"/>
  <c r="N315" i="18" s="1"/>
  <c r="N330" i="18"/>
  <c r="N328" i="18" s="1"/>
  <c r="N68" i="16"/>
  <c r="N66" i="16" s="1"/>
  <c r="P93" i="17"/>
  <c r="J722" i="17"/>
  <c r="M43" i="18"/>
  <c r="M41" i="18" s="1"/>
  <c r="O282" i="18"/>
  <c r="O301" i="18"/>
  <c r="N321" i="18"/>
  <c r="L331" i="18"/>
  <c r="O331" i="18" s="1"/>
  <c r="M404" i="18"/>
  <c r="P404" i="18" s="1"/>
  <c r="L469" i="18"/>
  <c r="O469" i="18" s="1"/>
  <c r="K576" i="18"/>
  <c r="L658" i="18"/>
  <c r="O658" i="18" s="1"/>
  <c r="P58" i="17"/>
  <c r="L36" i="18"/>
  <c r="O36" i="18" s="1"/>
  <c r="M300" i="18"/>
  <c r="M298" i="18" s="1"/>
  <c r="K338" i="18"/>
  <c r="M347" i="18"/>
  <c r="M345" i="18" s="1"/>
  <c r="M408" i="18"/>
  <c r="P408" i="18" s="1"/>
  <c r="K824" i="18"/>
  <c r="O320" i="18"/>
  <c r="O154" i="18"/>
  <c r="I248" i="18"/>
  <c r="K248" i="18" s="1"/>
  <c r="O266" i="18"/>
  <c r="K340" i="18"/>
  <c r="N391" i="18"/>
  <c r="N389" i="18" s="1"/>
  <c r="N134" i="18"/>
  <c r="N132" i="18" s="1"/>
  <c r="K649" i="18"/>
  <c r="K699" i="18"/>
  <c r="K720" i="18"/>
  <c r="O657" i="18"/>
  <c r="L655" i="18"/>
  <c r="O655" i="18" s="1"/>
  <c r="O140" i="18"/>
  <c r="I148" i="18"/>
  <c r="K148" i="18" s="1"/>
  <c r="L155" i="18"/>
  <c r="O155" i="18" s="1"/>
  <c r="M183" i="18"/>
  <c r="M181" i="18" s="1"/>
  <c r="N279" i="18"/>
  <c r="N277" i="18" s="1"/>
  <c r="M301" i="18"/>
  <c r="P301" i="18" s="1"/>
  <c r="J327" i="18"/>
  <c r="K327" i="18" s="1"/>
  <c r="K628" i="18"/>
  <c r="L688" i="18"/>
  <c r="K800" i="18"/>
  <c r="K826" i="18"/>
  <c r="O135" i="18"/>
  <c r="N351" i="18"/>
  <c r="O351" i="18" s="1"/>
  <c r="L392" i="18"/>
  <c r="O392" i="18" s="1"/>
  <c r="K651" i="18"/>
  <c r="K723" i="18"/>
  <c r="K561" i="17"/>
  <c r="K559" i="17"/>
  <c r="P49" i="18"/>
  <c r="M56" i="18"/>
  <c r="P56" i="18" s="1"/>
  <c r="N59" i="18"/>
  <c r="O59" i="18" s="1"/>
  <c r="L90" i="18"/>
  <c r="L88" i="18" s="1"/>
  <c r="L231" i="18"/>
  <c r="K309" i="18"/>
  <c r="L318" i="18"/>
  <c r="O318" i="18" s="1"/>
  <c r="P320" i="18"/>
  <c r="K360" i="18"/>
  <c r="N405" i="18"/>
  <c r="L408" i="18"/>
  <c r="O408" i="18" s="1"/>
  <c r="I442" i="18"/>
  <c r="K442" i="18" s="1"/>
  <c r="O449" i="18"/>
  <c r="O660" i="18"/>
  <c r="K728" i="18"/>
  <c r="L171" i="17"/>
  <c r="O171" i="17" s="1"/>
  <c r="L231" i="17"/>
  <c r="N43" i="18"/>
  <c r="N41" i="18" s="1"/>
  <c r="L69" i="18"/>
  <c r="M90" i="18"/>
  <c r="M88" i="18" s="1"/>
  <c r="L94" i="18"/>
  <c r="O94" i="18" s="1"/>
  <c r="P318" i="18"/>
  <c r="L330" i="18"/>
  <c r="L328" i="18" s="1"/>
  <c r="I112" i="18"/>
  <c r="K112" i="18" s="1"/>
  <c r="M121" i="18"/>
  <c r="P121" i="18" s="1"/>
  <c r="I216" i="18"/>
  <c r="K216" i="18" s="1"/>
  <c r="L228" i="18"/>
  <c r="L263" i="18"/>
  <c r="L261" i="18" s="1"/>
  <c r="P266" i="18"/>
  <c r="P280" i="18"/>
  <c r="L279" i="18"/>
  <c r="L277" i="18" s="1"/>
  <c r="L321" i="18"/>
  <c r="O321" i="18" s="1"/>
  <c r="N395" i="18"/>
  <c r="O472" i="18"/>
  <c r="L533" i="18"/>
  <c r="O533" i="18" s="1"/>
  <c r="L555" i="18"/>
  <c r="O555" i="18" s="1"/>
  <c r="J722" i="18"/>
  <c r="K722" i="18" s="1"/>
  <c r="K365" i="18"/>
  <c r="L43" i="16"/>
  <c r="L41" i="16" s="1"/>
  <c r="M321" i="16"/>
  <c r="P321" i="16" s="1"/>
  <c r="M134" i="17"/>
  <c r="P134" i="17" s="1"/>
  <c r="N279" i="17"/>
  <c r="N277" i="17" s="1"/>
  <c r="M283" i="17"/>
  <c r="P283" i="17" s="1"/>
  <c r="L317" i="17"/>
  <c r="O317" i="17" s="1"/>
  <c r="N391" i="17"/>
  <c r="N389" i="17" s="1"/>
  <c r="L23" i="18"/>
  <c r="L21" i="18" s="1"/>
  <c r="O44" i="18"/>
  <c r="L72" i="18"/>
  <c r="O72" i="18" s="1"/>
  <c r="M68" i="18"/>
  <c r="M66" i="18" s="1"/>
  <c r="K116" i="18"/>
  <c r="M135" i="18"/>
  <c r="P135" i="18" s="1"/>
  <c r="K146" i="18"/>
  <c r="N167" i="18"/>
  <c r="N165" i="18" s="1"/>
  <c r="N183" i="18"/>
  <c r="K204" i="18"/>
  <c r="K215" i="18"/>
  <c r="I233" i="18"/>
  <c r="K233" i="18" s="1"/>
  <c r="L230" i="18"/>
  <c r="N263" i="18"/>
  <c r="N261" i="18" s="1"/>
  <c r="O269" i="18"/>
  <c r="M283" i="18"/>
  <c r="P283" i="18" s="1"/>
  <c r="L334" i="18"/>
  <c r="O334" i="18" s="1"/>
  <c r="L348" i="18"/>
  <c r="K359" i="18"/>
  <c r="K370" i="18"/>
  <c r="K378" i="18"/>
  <c r="L395" i="18"/>
  <c r="O395" i="18" s="1"/>
  <c r="L477" i="18"/>
  <c r="O477" i="18" s="1"/>
  <c r="L546" i="18"/>
  <c r="L544" i="18" s="1"/>
  <c r="O544" i="18" s="1"/>
  <c r="K568" i="18"/>
  <c r="K672" i="18"/>
  <c r="K725" i="18"/>
  <c r="K823" i="18"/>
  <c r="M347" i="16"/>
  <c r="M345" i="16" s="1"/>
  <c r="L94" i="17"/>
  <c r="O94" i="17" s="1"/>
  <c r="I260" i="17"/>
  <c r="K260" i="17" s="1"/>
  <c r="K355" i="17"/>
  <c r="J433" i="17"/>
  <c r="J417" i="17" s="1"/>
  <c r="K537" i="17"/>
  <c r="K577" i="17"/>
  <c r="M23" i="18"/>
  <c r="M13" i="18" s="1"/>
  <c r="N26" i="18"/>
  <c r="N16" i="18" s="1"/>
  <c r="N121" i="18"/>
  <c r="N119" i="18" s="1"/>
  <c r="L125" i="18"/>
  <c r="O125" i="18" s="1"/>
  <c r="P137" i="18"/>
  <c r="L171" i="18"/>
  <c r="O171" i="18" s="1"/>
  <c r="L184" i="18"/>
  <c r="O184" i="18" s="1"/>
  <c r="L391" i="18"/>
  <c r="I654" i="13"/>
  <c r="K654" i="13" s="1"/>
  <c r="L263" i="14"/>
  <c r="L261" i="14" s="1"/>
  <c r="N43" i="16"/>
  <c r="L55" i="17"/>
  <c r="L53" i="17" s="1"/>
  <c r="O61" i="17"/>
  <c r="L69" i="17"/>
  <c r="O69" i="17" s="1"/>
  <c r="O58" i="18"/>
  <c r="I76" i="18"/>
  <c r="K76" i="18" s="1"/>
  <c r="K111" i="18"/>
  <c r="P140" i="18"/>
  <c r="L151" i="18"/>
  <c r="L149" i="18" s="1"/>
  <c r="L209" i="18"/>
  <c r="O209" i="18" s="1"/>
  <c r="L264" i="18"/>
  <c r="O264" i="18" s="1"/>
  <c r="I276" i="18"/>
  <c r="K276" i="18" s="1"/>
  <c r="I314" i="18"/>
  <c r="K314" i="18" s="1"/>
  <c r="P336" i="18"/>
  <c r="K362" i="18"/>
  <c r="K379" i="18"/>
  <c r="M405" i="18"/>
  <c r="P405" i="18" s="1"/>
  <c r="O634" i="18"/>
  <c r="I654" i="18"/>
  <c r="K654" i="18" s="1"/>
  <c r="K821" i="18"/>
  <c r="K827" i="18"/>
  <c r="M23" i="17"/>
  <c r="M13" i="17" s="1"/>
  <c r="P407" i="17"/>
  <c r="M44" i="18"/>
  <c r="P44" i="18" s="1"/>
  <c r="P46" i="18"/>
  <c r="P127" i="18"/>
  <c r="L152" i="18"/>
  <c r="O152" i="18" s="1"/>
  <c r="M187" i="18"/>
  <c r="P187" i="18" s="1"/>
  <c r="N300" i="18"/>
  <c r="N298" i="18" s="1"/>
  <c r="M330" i="18"/>
  <c r="M328" i="18" s="1"/>
  <c r="I443" i="18"/>
  <c r="K443" i="18" s="1"/>
  <c r="O632" i="18"/>
  <c r="L55" i="18"/>
  <c r="O137" i="18"/>
  <c r="J143" i="18"/>
  <c r="J131" i="18" s="1"/>
  <c r="O170" i="18"/>
  <c r="L198" i="18"/>
  <c r="O198" i="18" s="1"/>
  <c r="L249" i="18"/>
  <c r="O249" i="18" s="1"/>
  <c r="J288" i="18"/>
  <c r="J275" i="18" s="1"/>
  <c r="K275" i="18" s="1"/>
  <c r="M317" i="18"/>
  <c r="M315" i="18" s="1"/>
  <c r="K369" i="18"/>
  <c r="J433" i="18"/>
  <c r="J417" i="18" s="1"/>
  <c r="K825" i="18"/>
  <c r="P15" i="18"/>
  <c r="L404" i="14"/>
  <c r="O404" i="14" s="1"/>
  <c r="N23" i="17"/>
  <c r="N13" i="17" s="1"/>
  <c r="M121" i="17"/>
  <c r="P121" i="17" s="1"/>
  <c r="L151" i="17"/>
  <c r="O151" i="17" s="1"/>
  <c r="L267" i="17"/>
  <c r="O267" i="17" s="1"/>
  <c r="N317" i="17"/>
  <c r="N315" i="17" s="1"/>
  <c r="L321" i="17"/>
  <c r="O321" i="17" s="1"/>
  <c r="L470" i="17"/>
  <c r="O470" i="17" s="1"/>
  <c r="L546" i="17"/>
  <c r="L544" i="17" s="1"/>
  <c r="O544" i="17" s="1"/>
  <c r="L658" i="17"/>
  <c r="L12" i="18"/>
  <c r="M26" i="18"/>
  <c r="N29" i="18"/>
  <c r="N28" i="18" s="1"/>
  <c r="N31" i="18"/>
  <c r="L43" i="18"/>
  <c r="M59" i="18"/>
  <c r="P61" i="18"/>
  <c r="O71" i="18"/>
  <c r="M152" i="18"/>
  <c r="P152" i="18" s="1"/>
  <c r="P154" i="18"/>
  <c r="M151" i="18"/>
  <c r="M149" i="18" s="1"/>
  <c r="K225" i="18"/>
  <c r="P331" i="18"/>
  <c r="L229" i="15"/>
  <c r="O690" i="16"/>
  <c r="K145" i="17"/>
  <c r="I208" i="17"/>
  <c r="K208" i="17" s="1"/>
  <c r="L300" i="17"/>
  <c r="L298" i="17" s="1"/>
  <c r="K647" i="17"/>
  <c r="M12" i="18"/>
  <c r="P19" i="18"/>
  <c r="M29" i="18"/>
  <c r="P32" i="18"/>
  <c r="N34" i="18"/>
  <c r="O46" i="18"/>
  <c r="L26" i="18"/>
  <c r="L47" i="18"/>
  <c r="O47" i="18" s="1"/>
  <c r="M55" i="18"/>
  <c r="I77" i="18"/>
  <c r="K81" i="18"/>
  <c r="P133" i="18"/>
  <c r="P168" i="18"/>
  <c r="O182" i="18"/>
  <c r="I417" i="18"/>
  <c r="O329" i="18"/>
  <c r="O127" i="16"/>
  <c r="I364" i="16"/>
  <c r="O25" i="18"/>
  <c r="L15" i="18"/>
  <c r="P35" i="18"/>
  <c r="O54" i="18"/>
  <c r="N68" i="18"/>
  <c r="N66" i="18" s="1"/>
  <c r="P71" i="18"/>
  <c r="N91" i="18"/>
  <c r="O91" i="18" s="1"/>
  <c r="N90" i="18"/>
  <c r="P120" i="18"/>
  <c r="N421" i="18"/>
  <c r="N419" i="18" s="1"/>
  <c r="O424" i="18"/>
  <c r="N90" i="17"/>
  <c r="N88" i="17" s="1"/>
  <c r="M183" i="17"/>
  <c r="M181" i="17" s="1"/>
  <c r="L238" i="17"/>
  <c r="O238" i="17" s="1"/>
  <c r="N300" i="17"/>
  <c r="N298" i="17" s="1"/>
  <c r="K370" i="17"/>
  <c r="K379" i="17"/>
  <c r="N405" i="17"/>
  <c r="N23" i="18"/>
  <c r="P33" i="18"/>
  <c r="M30" i="18"/>
  <c r="P30" i="18" s="1"/>
  <c r="O56" i="18"/>
  <c r="N69" i="18"/>
  <c r="L138" i="18"/>
  <c r="O138" i="18" s="1"/>
  <c r="N155" i="18"/>
  <c r="N151" i="18"/>
  <c r="P166" i="18"/>
  <c r="I190" i="18"/>
  <c r="K190" i="18" s="1"/>
  <c r="L238" i="18"/>
  <c r="K271" i="18"/>
  <c r="I260" i="18"/>
  <c r="K260" i="18" s="1"/>
  <c r="P278" i="18"/>
  <c r="N422" i="18"/>
  <c r="O422" i="18" s="1"/>
  <c r="L304" i="18"/>
  <c r="O304" i="18" s="1"/>
  <c r="K362" i="17"/>
  <c r="I443" i="17"/>
  <c r="K443" i="17" s="1"/>
  <c r="L19" i="18"/>
  <c r="N15" i="18"/>
  <c r="O32" i="18"/>
  <c r="L29" i="18"/>
  <c r="I164" i="18"/>
  <c r="K164" i="18" s="1"/>
  <c r="K174" i="18"/>
  <c r="O403" i="18"/>
  <c r="P74" i="18"/>
  <c r="O93" i="18"/>
  <c r="P124" i="18"/>
  <c r="P138" i="18"/>
  <c r="L168" i="18"/>
  <c r="O168" i="18" s="1"/>
  <c r="M171" i="18"/>
  <c r="P171" i="18" s="1"/>
  <c r="L187" i="18"/>
  <c r="O187" i="18" s="1"/>
  <c r="O280" i="18"/>
  <c r="P333" i="18"/>
  <c r="J364" i="18"/>
  <c r="K385" i="18"/>
  <c r="M419" i="18"/>
  <c r="M279" i="18"/>
  <c r="L300" i="18"/>
  <c r="N348" i="18"/>
  <c r="P348" i="18" s="1"/>
  <c r="O350" i="18"/>
  <c r="N347" i="18"/>
  <c r="M94" i="18"/>
  <c r="P94" i="18" s="1"/>
  <c r="K98" i="18"/>
  <c r="K145" i="18"/>
  <c r="L167" i="18"/>
  <c r="P170" i="18"/>
  <c r="K176" i="18"/>
  <c r="K197" i="18"/>
  <c r="I237" i="18"/>
  <c r="P350" i="18"/>
  <c r="K435" i="18"/>
  <c r="K86" i="18"/>
  <c r="K99" i="18"/>
  <c r="L134" i="18"/>
  <c r="I143" i="18"/>
  <c r="M167" i="18"/>
  <c r="M165" i="18" s="1"/>
  <c r="L183" i="18"/>
  <c r="P186" i="18"/>
  <c r="M263" i="18"/>
  <c r="M261" i="18" s="1"/>
  <c r="P299" i="18"/>
  <c r="L317" i="18"/>
  <c r="M351" i="18"/>
  <c r="P353" i="18"/>
  <c r="K374" i="18"/>
  <c r="P93" i="18"/>
  <c r="L217" i="18"/>
  <c r="O217" i="18" s="1"/>
  <c r="P269" i="18"/>
  <c r="P282" i="18"/>
  <c r="L283" i="18"/>
  <c r="O283" i="18" s="1"/>
  <c r="O285" i="18"/>
  <c r="O303" i="18"/>
  <c r="M392" i="18"/>
  <c r="P392" i="18" s="1"/>
  <c r="M391" i="18"/>
  <c r="P394" i="18"/>
  <c r="P397" i="18"/>
  <c r="O407" i="18"/>
  <c r="L404" i="18"/>
  <c r="O404" i="18" s="1"/>
  <c r="P303" i="18"/>
  <c r="I364" i="18"/>
  <c r="K372" i="18"/>
  <c r="M444" i="18"/>
  <c r="P444" i="18" s="1"/>
  <c r="K465" i="18"/>
  <c r="M467" i="18"/>
  <c r="P467" i="18" s="1"/>
  <c r="K440" i="18"/>
  <c r="I434" i="18"/>
  <c r="J592" i="18"/>
  <c r="K592" i="18" s="1"/>
  <c r="K593" i="18"/>
  <c r="N685" i="18"/>
  <c r="N737" i="18"/>
  <c r="N770" i="18"/>
  <c r="K381" i="18"/>
  <c r="I543" i="18"/>
  <c r="K559" i="18"/>
  <c r="L421" i="18"/>
  <c r="L446" i="18"/>
  <c r="P503" i="18"/>
  <c r="J559" i="18"/>
  <c r="J543" i="18" s="1"/>
  <c r="L631" i="18"/>
  <c r="K674" i="18"/>
  <c r="N688" i="18"/>
  <c r="J721" i="18"/>
  <c r="K721" i="18" s="1"/>
  <c r="N739" i="18"/>
  <c r="N756" i="18"/>
  <c r="N754" i="18" s="1"/>
  <c r="N772" i="18"/>
  <c r="O545" i="18"/>
  <c r="P656" i="18"/>
  <c r="J537" i="18"/>
  <c r="L547" i="18"/>
  <c r="O547" i="18" s="1"/>
  <c r="K675" i="18"/>
  <c r="M786" i="18"/>
  <c r="P786" i="18" s="1"/>
  <c r="M805" i="18"/>
  <c r="P805" i="18" s="1"/>
  <c r="L525" i="18"/>
  <c r="M545" i="18"/>
  <c r="K669" i="18"/>
  <c r="L687" i="18"/>
  <c r="O264" i="17"/>
  <c r="N404" i="14"/>
  <c r="N402" i="14" s="1"/>
  <c r="I314" i="16"/>
  <c r="K314" i="16" s="1"/>
  <c r="L334" i="16"/>
  <c r="O334" i="16" s="1"/>
  <c r="P336" i="16"/>
  <c r="N347" i="16"/>
  <c r="M44" i="17"/>
  <c r="P49" i="17"/>
  <c r="M69" i="17"/>
  <c r="P69" i="17" s="1"/>
  <c r="N94" i="17"/>
  <c r="I112" i="17"/>
  <c r="K112" i="17" s="1"/>
  <c r="I190" i="17"/>
  <c r="K190" i="17" s="1"/>
  <c r="K244" i="17"/>
  <c r="P266" i="17"/>
  <c r="M330" i="17"/>
  <c r="M328" i="17" s="1"/>
  <c r="L422" i="17"/>
  <c r="O422" i="17" s="1"/>
  <c r="K435" i="17"/>
  <c r="L447" i="13"/>
  <c r="O447" i="13" s="1"/>
  <c r="P410" i="16"/>
  <c r="M72" i="17"/>
  <c r="P72" i="17" s="1"/>
  <c r="L155" i="17"/>
  <c r="O155" i="17" s="1"/>
  <c r="L263" i="17"/>
  <c r="L261" i="17" s="1"/>
  <c r="L301" i="17"/>
  <c r="O301" i="17" s="1"/>
  <c r="L334" i="17"/>
  <c r="O334" i="17" s="1"/>
  <c r="L405" i="17"/>
  <c r="O405" i="17" s="1"/>
  <c r="O528" i="17"/>
  <c r="O59" i="17"/>
  <c r="L125" i="17"/>
  <c r="O125" i="17" s="1"/>
  <c r="O157" i="17"/>
  <c r="O266" i="17"/>
  <c r="L279" i="17"/>
  <c r="L277" i="17" s="1"/>
  <c r="O303" i="17"/>
  <c r="J364" i="17"/>
  <c r="I433" i="17"/>
  <c r="I417" i="17" s="1"/>
  <c r="J785" i="17"/>
  <c r="L33" i="17"/>
  <c r="O33" i="17" s="1"/>
  <c r="O91" i="17"/>
  <c r="M135" i="17"/>
  <c r="P135" i="17" s="1"/>
  <c r="P137" i="17"/>
  <c r="K822" i="17"/>
  <c r="K825" i="17"/>
  <c r="K828" i="17"/>
  <c r="M404" i="16"/>
  <c r="P404" i="16" s="1"/>
  <c r="M91" i="17"/>
  <c r="P91" i="17" s="1"/>
  <c r="I174" i="17"/>
  <c r="K174" i="17" s="1"/>
  <c r="K359" i="17"/>
  <c r="K381" i="17"/>
  <c r="L525" i="17"/>
  <c r="O525" i="17" s="1"/>
  <c r="J537" i="17"/>
  <c r="J522" i="17" s="1"/>
  <c r="P96" i="17"/>
  <c r="M94" i="17"/>
  <c r="P94" i="17" s="1"/>
  <c r="M317" i="15"/>
  <c r="P317" i="15" s="1"/>
  <c r="M391" i="15"/>
  <c r="M389" i="15" s="1"/>
  <c r="P389" i="15" s="1"/>
  <c r="M43" i="16"/>
  <c r="M41" i="16" s="1"/>
  <c r="L391" i="16"/>
  <c r="L389" i="16" s="1"/>
  <c r="O389" i="16" s="1"/>
  <c r="I559" i="16"/>
  <c r="I543" i="16" s="1"/>
  <c r="K543" i="16" s="1"/>
  <c r="J722" i="16"/>
  <c r="K722" i="16" s="1"/>
  <c r="K822" i="16"/>
  <c r="N44" i="17"/>
  <c r="O44" i="17" s="1"/>
  <c r="L47" i="17"/>
  <c r="O47" i="17" s="1"/>
  <c r="L121" i="17"/>
  <c r="O121" i="17" s="1"/>
  <c r="M318" i="17"/>
  <c r="P318" i="17" s="1"/>
  <c r="M317" i="17"/>
  <c r="M348" i="17"/>
  <c r="M347" i="17"/>
  <c r="M345" i="17" s="1"/>
  <c r="M391" i="17"/>
  <c r="P391" i="17" s="1"/>
  <c r="O93" i="16"/>
  <c r="I297" i="16"/>
  <c r="K297" i="16" s="1"/>
  <c r="N317" i="16"/>
  <c r="N315" i="16" s="1"/>
  <c r="N391" i="16"/>
  <c r="N389" i="16" s="1"/>
  <c r="N26" i="17"/>
  <c r="N16" i="17" s="1"/>
  <c r="N14" i="17" s="1"/>
  <c r="O124" i="17"/>
  <c r="L249" i="17"/>
  <c r="O249" i="17" s="1"/>
  <c r="P306" i="17"/>
  <c r="M300" i="17"/>
  <c r="L789" i="17"/>
  <c r="O789" i="17" s="1"/>
  <c r="L788" i="17"/>
  <c r="I785" i="17"/>
  <c r="K801" i="17"/>
  <c r="L47" i="15"/>
  <c r="O47" i="15" s="1"/>
  <c r="L318" i="16"/>
  <c r="O318" i="16" s="1"/>
  <c r="P59" i="17"/>
  <c r="M90" i="17"/>
  <c r="M88" i="17" s="1"/>
  <c r="O137" i="17"/>
  <c r="L134" i="17"/>
  <c r="O134" i="17" s="1"/>
  <c r="O189" i="17"/>
  <c r="L187" i="17"/>
  <c r="O187" i="17" s="1"/>
  <c r="L183" i="17"/>
  <c r="L181" i="17" s="1"/>
  <c r="N263" i="17"/>
  <c r="N261" i="17" s="1"/>
  <c r="N267" i="17"/>
  <c r="L404" i="17"/>
  <c r="O404" i="17" s="1"/>
  <c r="L639" i="17"/>
  <c r="O639" i="17" s="1"/>
  <c r="O641" i="17"/>
  <c r="N183" i="16"/>
  <c r="N181" i="16" s="1"/>
  <c r="I216" i="16"/>
  <c r="K216" i="16" s="1"/>
  <c r="K365" i="16"/>
  <c r="N43" i="17"/>
  <c r="N41" i="17" s="1"/>
  <c r="O46" i="17"/>
  <c r="L90" i="17"/>
  <c r="O93" i="17"/>
  <c r="I130" i="17"/>
  <c r="K130" i="17" s="1"/>
  <c r="N134" i="17"/>
  <c r="N132" i="17" s="1"/>
  <c r="P140" i="17"/>
  <c r="M138" i="17"/>
  <c r="P138" i="17" s="1"/>
  <c r="K224" i="17"/>
  <c r="I216" i="17"/>
  <c r="K216" i="17" s="1"/>
  <c r="L230" i="17"/>
  <c r="I275" i="17"/>
  <c r="J288" i="17"/>
  <c r="K288" i="17" s="1"/>
  <c r="L167" i="17"/>
  <c r="O170" i="17"/>
  <c r="L168" i="17"/>
  <c r="O168" i="17" s="1"/>
  <c r="O353" i="17"/>
  <c r="L351" i="17"/>
  <c r="O351" i="17" s="1"/>
  <c r="K720" i="16"/>
  <c r="P46" i="17"/>
  <c r="O74" i="17"/>
  <c r="L68" i="17"/>
  <c r="O68" i="17" s="1"/>
  <c r="N183" i="17"/>
  <c r="N181" i="17" s="1"/>
  <c r="O186" i="17"/>
  <c r="N184" i="17"/>
  <c r="O184" i="17" s="1"/>
  <c r="M279" i="17"/>
  <c r="P282" i="17"/>
  <c r="M280" i="17"/>
  <c r="P280" i="17" s="1"/>
  <c r="O410" i="17"/>
  <c r="L408" i="17"/>
  <c r="O408" i="17" s="1"/>
  <c r="M263" i="17"/>
  <c r="L304" i="17"/>
  <c r="O304" i="17" s="1"/>
  <c r="I314" i="17"/>
  <c r="K314" i="17" s="1"/>
  <c r="L318" i="17"/>
  <c r="O318" i="17" s="1"/>
  <c r="P353" i="17"/>
  <c r="M392" i="17"/>
  <c r="P392" i="17" s="1"/>
  <c r="L395" i="17"/>
  <c r="O395" i="17" s="1"/>
  <c r="K620" i="17"/>
  <c r="O791" i="17"/>
  <c r="N151" i="17"/>
  <c r="N149" i="17" s="1"/>
  <c r="O320" i="17"/>
  <c r="L446" i="17"/>
  <c r="O446" i="17" s="1"/>
  <c r="K651" i="17"/>
  <c r="K823" i="17"/>
  <c r="K826" i="17"/>
  <c r="K365" i="17"/>
  <c r="N68" i="17"/>
  <c r="N66" i="17" s="1"/>
  <c r="K87" i="17"/>
  <c r="K111" i="17"/>
  <c r="L198" i="17"/>
  <c r="O198" i="17" s="1"/>
  <c r="L209" i="17"/>
  <c r="O209" i="17" s="1"/>
  <c r="L228" i="17"/>
  <c r="P303" i="17"/>
  <c r="K340" i="17"/>
  <c r="K385" i="17"/>
  <c r="P410" i="17"/>
  <c r="O456" i="17"/>
  <c r="K569" i="17"/>
  <c r="I628" i="17"/>
  <c r="K628" i="17" s="1"/>
  <c r="L631" i="17"/>
  <c r="O631" i="17" s="1"/>
  <c r="K649" i="17"/>
  <c r="K821" i="17"/>
  <c r="K824" i="17"/>
  <c r="K827" i="17"/>
  <c r="L347" i="17"/>
  <c r="L345" i="17" s="1"/>
  <c r="K360" i="17"/>
  <c r="N28" i="17"/>
  <c r="O19" i="17"/>
  <c r="P157" i="17"/>
  <c r="M155" i="17"/>
  <c r="P155" i="17" s="1"/>
  <c r="P419" i="17"/>
  <c r="L429" i="17"/>
  <c r="O429" i="17" s="1"/>
  <c r="O431" i="17"/>
  <c r="P807" i="17"/>
  <c r="M805" i="17"/>
  <c r="P805" i="17" s="1"/>
  <c r="L300" i="15"/>
  <c r="O300" i="15" s="1"/>
  <c r="N55" i="16"/>
  <c r="N53" i="16" s="1"/>
  <c r="I87" i="16"/>
  <c r="K87" i="16" s="1"/>
  <c r="N151" i="16"/>
  <c r="N149" i="16" s="1"/>
  <c r="P186" i="16"/>
  <c r="L228" i="16"/>
  <c r="N263" i="16"/>
  <c r="N261" i="16" s="1"/>
  <c r="L283" i="16"/>
  <c r="O283" i="16" s="1"/>
  <c r="P303" i="16"/>
  <c r="N318" i="16"/>
  <c r="L321" i="16"/>
  <c r="O321" i="16" s="1"/>
  <c r="O333" i="16"/>
  <c r="K338" i="16"/>
  <c r="K378" i="16"/>
  <c r="I434" i="16"/>
  <c r="K434" i="16" s="1"/>
  <c r="K649" i="16"/>
  <c r="L688" i="16"/>
  <c r="O688" i="16" s="1"/>
  <c r="K825" i="16"/>
  <c r="K828" i="16"/>
  <c r="N12" i="17"/>
  <c r="L26" i="17"/>
  <c r="L24" i="17" s="1"/>
  <c r="N31" i="17"/>
  <c r="O32" i="17"/>
  <c r="N56" i="17"/>
  <c r="P56" i="17" s="1"/>
  <c r="M68" i="17"/>
  <c r="P68" i="17" s="1"/>
  <c r="I77" i="17"/>
  <c r="O89" i="17"/>
  <c r="K98" i="17"/>
  <c r="P133" i="17"/>
  <c r="J143" i="17"/>
  <c r="J131" i="17" s="1"/>
  <c r="K237" i="17"/>
  <c r="J327" i="17"/>
  <c r="K327" i="17" s="1"/>
  <c r="N348" i="17"/>
  <c r="N347" i="17"/>
  <c r="N345" i="17" s="1"/>
  <c r="N263" i="13"/>
  <c r="N261" i="13" s="1"/>
  <c r="M68" i="16"/>
  <c r="M66" i="16" s="1"/>
  <c r="L90" i="16"/>
  <c r="L88" i="16" s="1"/>
  <c r="L167" i="16"/>
  <c r="L165" i="16" s="1"/>
  <c r="P285" i="16"/>
  <c r="O353" i="16"/>
  <c r="O12" i="17"/>
  <c r="P22" i="17"/>
  <c r="M19" i="17"/>
  <c r="M12" i="17"/>
  <c r="M26" i="17"/>
  <c r="M55" i="17"/>
  <c r="N121" i="17"/>
  <c r="N119" i="17" s="1"/>
  <c r="M171" i="17"/>
  <c r="P171" i="17" s="1"/>
  <c r="P173" i="17"/>
  <c r="M187" i="17"/>
  <c r="P187" i="17" s="1"/>
  <c r="P189" i="17"/>
  <c r="N331" i="17"/>
  <c r="P331" i="17" s="1"/>
  <c r="N330" i="17"/>
  <c r="M47" i="13"/>
  <c r="P47" i="13" s="1"/>
  <c r="L167" i="15"/>
  <c r="L165" i="15" s="1"/>
  <c r="N183" i="15"/>
  <c r="N181" i="15" s="1"/>
  <c r="K701" i="15"/>
  <c r="L91" i="16"/>
  <c r="O91" i="16" s="1"/>
  <c r="L94" i="16"/>
  <c r="O94" i="16" s="1"/>
  <c r="P351" i="16"/>
  <c r="K359" i="16"/>
  <c r="O410" i="16"/>
  <c r="J433" i="16"/>
  <c r="K433" i="16" s="1"/>
  <c r="L29" i="17"/>
  <c r="P42" i="17"/>
  <c r="N55" i="17"/>
  <c r="O58" i="17"/>
  <c r="P61" i="17"/>
  <c r="P127" i="17"/>
  <c r="M125" i="17"/>
  <c r="P125" i="17" s="1"/>
  <c r="I131" i="17"/>
  <c r="K131" i="17" s="1"/>
  <c r="L138" i="17"/>
  <c r="O138" i="17" s="1"/>
  <c r="P154" i="17"/>
  <c r="M152" i="17"/>
  <c r="P152" i="17" s="1"/>
  <c r="O166" i="17"/>
  <c r="O182" i="17"/>
  <c r="K204" i="17"/>
  <c r="I197" i="17"/>
  <c r="K197" i="17" s="1"/>
  <c r="L217" i="17"/>
  <c r="O217" i="17" s="1"/>
  <c r="L280" i="17"/>
  <c r="O280" i="17" s="1"/>
  <c r="O282" i="17"/>
  <c r="O329" i="17"/>
  <c r="I434" i="17"/>
  <c r="K438" i="17"/>
  <c r="O282" i="16"/>
  <c r="L36" i="17"/>
  <c r="O36" i="17" s="1"/>
  <c r="L43" i="17"/>
  <c r="L283" i="17"/>
  <c r="O283" i="17" s="1"/>
  <c r="O285" i="17"/>
  <c r="P58" i="14"/>
  <c r="K720" i="15"/>
  <c r="I112" i="16"/>
  <c r="K112" i="16" s="1"/>
  <c r="P140" i="16"/>
  <c r="L230" i="16"/>
  <c r="L263" i="16"/>
  <c r="L261" i="16" s="1"/>
  <c r="K360" i="16"/>
  <c r="M392" i="16"/>
  <c r="P392" i="16" s="1"/>
  <c r="O394" i="16"/>
  <c r="I522" i="16"/>
  <c r="K522" i="16" s="1"/>
  <c r="K824" i="16"/>
  <c r="L9" i="17"/>
  <c r="L23" i="17"/>
  <c r="O25" i="17"/>
  <c r="M43" i="17"/>
  <c r="P67" i="17"/>
  <c r="I76" i="17"/>
  <c r="K86" i="17"/>
  <c r="P124" i="17"/>
  <c r="M122" i="17"/>
  <c r="P122" i="17" s="1"/>
  <c r="M151" i="17"/>
  <c r="M168" i="17"/>
  <c r="P168" i="17" s="1"/>
  <c r="P170" i="17"/>
  <c r="M184" i="17"/>
  <c r="P186" i="17"/>
  <c r="P390" i="17"/>
  <c r="M264" i="17"/>
  <c r="P264" i="17" s="1"/>
  <c r="M267" i="17"/>
  <c r="P267" i="17" s="1"/>
  <c r="M301" i="17"/>
  <c r="P301" i="17" s="1"/>
  <c r="M304" i="17"/>
  <c r="P304" i="17" s="1"/>
  <c r="O316" i="17"/>
  <c r="P320" i="17"/>
  <c r="P323" i="17"/>
  <c r="O333" i="17"/>
  <c r="O350" i="17"/>
  <c r="I364" i="17"/>
  <c r="L392" i="17"/>
  <c r="O392" i="17" s="1"/>
  <c r="M395" i="17"/>
  <c r="P395" i="17" s="1"/>
  <c r="M404" i="17"/>
  <c r="L421" i="17"/>
  <c r="O421" i="17" s="1"/>
  <c r="L469" i="17"/>
  <c r="P503" i="17"/>
  <c r="K568" i="17"/>
  <c r="O690" i="17"/>
  <c r="L687" i="17"/>
  <c r="O687" i="17" s="1"/>
  <c r="L688" i="17"/>
  <c r="O688" i="17" s="1"/>
  <c r="O806" i="17"/>
  <c r="L805" i="17"/>
  <c r="O805" i="17" s="1"/>
  <c r="O445" i="17"/>
  <c r="O449" i="17"/>
  <c r="L447" i="17"/>
  <c r="O447" i="17" s="1"/>
  <c r="I442" i="17"/>
  <c r="K442" i="17" s="1"/>
  <c r="K460" i="17"/>
  <c r="L547" i="17"/>
  <c r="O547" i="17" s="1"/>
  <c r="O549" i="17"/>
  <c r="K543" i="17"/>
  <c r="P657" i="17"/>
  <c r="M655" i="17"/>
  <c r="P655" i="17" s="1"/>
  <c r="K675" i="17"/>
  <c r="I654" i="17"/>
  <c r="K654" i="17" s="1"/>
  <c r="K674" i="17"/>
  <c r="K673" i="17"/>
  <c r="K669" i="17"/>
  <c r="K672" i="17"/>
  <c r="L229" i="17"/>
  <c r="I233" i="17"/>
  <c r="K233" i="17" s="1"/>
  <c r="I248" i="17"/>
  <c r="K248" i="17" s="1"/>
  <c r="L331" i="17"/>
  <c r="M334" i="17"/>
  <c r="P334" i="17" s="1"/>
  <c r="K338" i="17"/>
  <c r="L348" i="17"/>
  <c r="M351" i="17"/>
  <c r="P351" i="17" s="1"/>
  <c r="K374" i="17"/>
  <c r="L391" i="17"/>
  <c r="O391" i="17" s="1"/>
  <c r="N392" i="17"/>
  <c r="O420" i="17"/>
  <c r="K466" i="17"/>
  <c r="O479" i="17"/>
  <c r="K560" i="17"/>
  <c r="K621" i="17"/>
  <c r="N629" i="17"/>
  <c r="N414" i="17" s="1"/>
  <c r="O656" i="17"/>
  <c r="L655" i="17"/>
  <c r="O655" i="17" s="1"/>
  <c r="O660" i="17"/>
  <c r="N655" i="17"/>
  <c r="O657" i="17"/>
  <c r="P333" i="17"/>
  <c r="P350" i="17"/>
  <c r="K576" i="17"/>
  <c r="K593" i="17"/>
  <c r="N658" i="17"/>
  <c r="P524" i="17"/>
  <c r="O630" i="17"/>
  <c r="P686" i="17"/>
  <c r="P787" i="17"/>
  <c r="L632" i="17"/>
  <c r="O632" i="17" s="1"/>
  <c r="K539" i="17"/>
  <c r="I275" i="14"/>
  <c r="M94" i="15"/>
  <c r="P94" i="15" s="1"/>
  <c r="M55" i="16"/>
  <c r="M53" i="16" s="1"/>
  <c r="P71" i="16"/>
  <c r="L183" i="16"/>
  <c r="L181" i="16" s="1"/>
  <c r="J327" i="16"/>
  <c r="K327" i="16" s="1"/>
  <c r="K372" i="16"/>
  <c r="K440" i="16"/>
  <c r="O535" i="16"/>
  <c r="K673" i="16"/>
  <c r="M121" i="15"/>
  <c r="P121" i="15" s="1"/>
  <c r="L228" i="15"/>
  <c r="I443" i="15"/>
  <c r="K443" i="15" s="1"/>
  <c r="M44" i="16"/>
  <c r="M47" i="16"/>
  <c r="P47" i="16" s="1"/>
  <c r="M72" i="16"/>
  <c r="P72" i="16" s="1"/>
  <c r="O170" i="16"/>
  <c r="M183" i="16"/>
  <c r="M348" i="16"/>
  <c r="P348" i="16" s="1"/>
  <c r="O350" i="16"/>
  <c r="K435" i="16"/>
  <c r="O549" i="16"/>
  <c r="K674" i="16"/>
  <c r="L68" i="15"/>
  <c r="L66" i="15" s="1"/>
  <c r="N317" i="15"/>
  <c r="N315" i="15" s="1"/>
  <c r="N23" i="16"/>
  <c r="N21" i="16" s="1"/>
  <c r="K115" i="16"/>
  <c r="L171" i="16"/>
  <c r="O171" i="16" s="1"/>
  <c r="L264" i="16"/>
  <c r="O264" i="16" s="1"/>
  <c r="M300" i="16"/>
  <c r="M298" i="16" s="1"/>
  <c r="M304" i="16"/>
  <c r="P304" i="16" s="1"/>
  <c r="M330" i="16"/>
  <c r="M328" i="16" s="1"/>
  <c r="P350" i="16"/>
  <c r="P353" i="16"/>
  <c r="L657" i="16"/>
  <c r="O660" i="16"/>
  <c r="K669" i="16"/>
  <c r="L183" i="15"/>
  <c r="I297" i="15"/>
  <c r="K297" i="15" s="1"/>
  <c r="L318" i="15"/>
  <c r="O318" i="15" s="1"/>
  <c r="K729" i="15"/>
  <c r="P56" i="16"/>
  <c r="M59" i="16"/>
  <c r="P59" i="16" s="1"/>
  <c r="O61" i="16"/>
  <c r="K98" i="16"/>
  <c r="I148" i="16"/>
  <c r="K148" i="16" s="1"/>
  <c r="L151" i="16"/>
  <c r="L149" i="16" s="1"/>
  <c r="L209" i="16"/>
  <c r="O209" i="16" s="1"/>
  <c r="O266" i="16"/>
  <c r="L279" i="16"/>
  <c r="L277" i="16" s="1"/>
  <c r="K340" i="16"/>
  <c r="L546" i="16"/>
  <c r="L544" i="16" s="1"/>
  <c r="O544" i="16" s="1"/>
  <c r="O557" i="16"/>
  <c r="N121" i="16"/>
  <c r="N119" i="16" s="1"/>
  <c r="P137" i="16"/>
  <c r="N134" i="16"/>
  <c r="N132" i="16" s="1"/>
  <c r="O154" i="16"/>
  <c r="L330" i="16"/>
  <c r="L328" i="16" s="1"/>
  <c r="O348" i="16"/>
  <c r="K369" i="16"/>
  <c r="K374" i="16"/>
  <c r="M391" i="16"/>
  <c r="M389" i="16" s="1"/>
  <c r="P389" i="16" s="1"/>
  <c r="N404" i="16"/>
  <c r="N402" i="16" s="1"/>
  <c r="J721" i="16"/>
  <c r="K721" i="16" s="1"/>
  <c r="K821" i="16"/>
  <c r="K359" i="14"/>
  <c r="N121" i="15"/>
  <c r="N119" i="15" s="1"/>
  <c r="M125" i="15"/>
  <c r="P125" i="15" s="1"/>
  <c r="N134" i="15"/>
  <c r="N132" i="15" s="1"/>
  <c r="J143" i="15"/>
  <c r="J131" i="15" s="1"/>
  <c r="N151" i="15"/>
  <c r="N149" i="15" s="1"/>
  <c r="K159" i="15"/>
  <c r="N167" i="15"/>
  <c r="N165" i="15" s="1"/>
  <c r="L231" i="15"/>
  <c r="N279" i="15"/>
  <c r="N277" i="15" s="1"/>
  <c r="O56" i="16"/>
  <c r="I76" i="16"/>
  <c r="I64" i="16" s="1"/>
  <c r="K64" i="16" s="1"/>
  <c r="N90" i="16"/>
  <c r="N88" i="16" s="1"/>
  <c r="L122" i="16"/>
  <c r="O122" i="16" s="1"/>
  <c r="L134" i="16"/>
  <c r="O134" i="16" s="1"/>
  <c r="N155" i="16"/>
  <c r="I174" i="16"/>
  <c r="O186" i="16"/>
  <c r="L267" i="16"/>
  <c r="O267" i="16" s="1"/>
  <c r="M279" i="16"/>
  <c r="M277" i="16" s="1"/>
  <c r="L331" i="16"/>
  <c r="O331" i="16" s="1"/>
  <c r="L347" i="16"/>
  <c r="L345" i="16" s="1"/>
  <c r="L351" i="16"/>
  <c r="O351" i="16" s="1"/>
  <c r="K385" i="16"/>
  <c r="L395" i="16"/>
  <c r="O395" i="16" s="1"/>
  <c r="L429" i="16"/>
  <c r="O429" i="16" s="1"/>
  <c r="O431" i="16"/>
  <c r="L171" i="12"/>
  <c r="O171" i="12" s="1"/>
  <c r="M167" i="14"/>
  <c r="M165" i="14" s="1"/>
  <c r="K360" i="14"/>
  <c r="M55" i="15"/>
  <c r="M53" i="15" s="1"/>
  <c r="L217" i="15"/>
  <c r="O217" i="15" s="1"/>
  <c r="P331" i="15"/>
  <c r="M347" i="15"/>
  <c r="M345" i="15" s="1"/>
  <c r="M351" i="15"/>
  <c r="P351" i="15" s="1"/>
  <c r="K369" i="15"/>
  <c r="K465" i="15"/>
  <c r="P58" i="16"/>
  <c r="O124" i="16"/>
  <c r="M134" i="16"/>
  <c r="P134" i="16" s="1"/>
  <c r="L187" i="16"/>
  <c r="O187" i="16" s="1"/>
  <c r="L198" i="16"/>
  <c r="O198" i="16" s="1"/>
  <c r="L229" i="16"/>
  <c r="L280" i="16"/>
  <c r="O303" i="16"/>
  <c r="M331" i="16"/>
  <c r="P331" i="16" s="1"/>
  <c r="P333" i="16"/>
  <c r="M395" i="16"/>
  <c r="P395" i="16" s="1"/>
  <c r="N405" i="16"/>
  <c r="K725" i="16"/>
  <c r="N151" i="12"/>
  <c r="N149" i="12" s="1"/>
  <c r="L217" i="16"/>
  <c r="O217" i="16" s="1"/>
  <c r="J364" i="16"/>
  <c r="L55" i="15"/>
  <c r="L53" i="15" s="1"/>
  <c r="M405" i="16"/>
  <c r="P405" i="16" s="1"/>
  <c r="P407" i="16"/>
  <c r="N317" i="14"/>
  <c r="N315" i="14" s="1"/>
  <c r="P91" i="15"/>
  <c r="L134" i="15"/>
  <c r="L132" i="15" s="1"/>
  <c r="O132" i="15" s="1"/>
  <c r="N318" i="15"/>
  <c r="P46" i="16"/>
  <c r="L55" i="16"/>
  <c r="O58" i="16"/>
  <c r="P170" i="16"/>
  <c r="L231" i="16"/>
  <c r="I275" i="16"/>
  <c r="K275" i="16" s="1"/>
  <c r="K355" i="16"/>
  <c r="K362" i="16"/>
  <c r="L421" i="16"/>
  <c r="L419" i="16" s="1"/>
  <c r="I443" i="16"/>
  <c r="K443" i="16" s="1"/>
  <c r="K462" i="16"/>
  <c r="I628" i="16"/>
  <c r="K628" i="16" s="1"/>
  <c r="K651" i="16"/>
  <c r="K340" i="15"/>
  <c r="L446" i="15"/>
  <c r="O446" i="15" s="1"/>
  <c r="K822" i="15"/>
  <c r="K825" i="15"/>
  <c r="K828" i="15"/>
  <c r="I276" i="16"/>
  <c r="K276" i="16" s="1"/>
  <c r="K723" i="16"/>
  <c r="K826" i="16"/>
  <c r="O407" i="16"/>
  <c r="L404" i="16"/>
  <c r="O404" i="16" s="1"/>
  <c r="L447" i="16"/>
  <c r="O447" i="16" s="1"/>
  <c r="L631" i="16"/>
  <c r="O631" i="16" s="1"/>
  <c r="K827" i="16"/>
  <c r="J537" i="16"/>
  <c r="J522" i="16" s="1"/>
  <c r="K647" i="16"/>
  <c r="K672" i="16"/>
  <c r="K701" i="16"/>
  <c r="K823" i="16"/>
  <c r="J364" i="15"/>
  <c r="M94" i="16"/>
  <c r="P94" i="16" s="1"/>
  <c r="P96" i="16"/>
  <c r="M26" i="16"/>
  <c r="M24" i="16" s="1"/>
  <c r="M152" i="16"/>
  <c r="P152" i="16" s="1"/>
  <c r="P154" i="16"/>
  <c r="M267" i="16"/>
  <c r="P267" i="16" s="1"/>
  <c r="P269" i="16"/>
  <c r="L454" i="16"/>
  <c r="O454" i="16" s="1"/>
  <c r="L36" i="16"/>
  <c r="L446" i="16"/>
  <c r="O456" i="16"/>
  <c r="N300" i="13"/>
  <c r="N298" i="13" s="1"/>
  <c r="L231" i="14"/>
  <c r="P266" i="14"/>
  <c r="I443" i="14"/>
  <c r="K443" i="14" s="1"/>
  <c r="I77" i="15"/>
  <c r="K77" i="15" s="1"/>
  <c r="M134" i="15"/>
  <c r="M132" i="15" s="1"/>
  <c r="P132" i="15" s="1"/>
  <c r="I260" i="15"/>
  <c r="K260" i="15" s="1"/>
  <c r="I276" i="15"/>
  <c r="K276" i="15" s="1"/>
  <c r="M318" i="15"/>
  <c r="P318" i="15" s="1"/>
  <c r="K378" i="15"/>
  <c r="K385" i="15"/>
  <c r="I628" i="15"/>
  <c r="K628" i="15" s="1"/>
  <c r="O22" i="16"/>
  <c r="L19" i="16"/>
  <c r="N26" i="16"/>
  <c r="O120" i="16"/>
  <c r="O152" i="16"/>
  <c r="K370" i="16"/>
  <c r="K593" i="16"/>
  <c r="J592" i="16"/>
  <c r="K592" i="16" s="1"/>
  <c r="L229" i="13"/>
  <c r="I559" i="13"/>
  <c r="I543" i="13" s="1"/>
  <c r="K543" i="13" s="1"/>
  <c r="L72" i="15"/>
  <c r="O72" i="15" s="1"/>
  <c r="O96" i="15"/>
  <c r="L138" i="15"/>
  <c r="O138" i="15" s="1"/>
  <c r="I190" i="15"/>
  <c r="K190" i="15" s="1"/>
  <c r="P15" i="16"/>
  <c r="N30" i="16"/>
  <c r="N28" i="16" s="1"/>
  <c r="M90" i="16"/>
  <c r="M122" i="16"/>
  <c r="P122" i="16" s="1"/>
  <c r="P124" i="16"/>
  <c r="M155" i="16"/>
  <c r="P155" i="16" s="1"/>
  <c r="P157" i="16"/>
  <c r="I190" i="16"/>
  <c r="K190" i="16" s="1"/>
  <c r="K255" i="16"/>
  <c r="I248" i="16"/>
  <c r="K248" i="16" s="1"/>
  <c r="M263" i="16"/>
  <c r="N279" i="16"/>
  <c r="P320" i="16"/>
  <c r="M317" i="16"/>
  <c r="P317" i="16" s="1"/>
  <c r="O787" i="16"/>
  <c r="L786" i="16"/>
  <c r="O786" i="16" s="1"/>
  <c r="L121" i="14"/>
  <c r="O121" i="14" s="1"/>
  <c r="I197" i="14"/>
  <c r="K197" i="14" s="1"/>
  <c r="I260" i="14"/>
  <c r="K260" i="14" s="1"/>
  <c r="M264" i="14"/>
  <c r="P264" i="14" s="1"/>
  <c r="L533" i="14"/>
  <c r="O533" i="14" s="1"/>
  <c r="I76" i="15"/>
  <c r="K76" i="15" s="1"/>
  <c r="O152" i="15"/>
  <c r="K381" i="15"/>
  <c r="P35" i="16"/>
  <c r="M34" i="16"/>
  <c r="P34" i="16" s="1"/>
  <c r="L44" i="16"/>
  <c r="L23" i="16"/>
  <c r="O46" i="16"/>
  <c r="L47" i="16"/>
  <c r="O47" i="16" s="1"/>
  <c r="O49" i="16"/>
  <c r="L26" i="16"/>
  <c r="O89" i="16"/>
  <c r="I208" i="16"/>
  <c r="K208" i="16" s="1"/>
  <c r="O262" i="16"/>
  <c r="P278" i="16"/>
  <c r="P687" i="16"/>
  <c r="M685" i="16"/>
  <c r="P685" i="16" s="1"/>
  <c r="L228" i="14"/>
  <c r="P152" i="15"/>
  <c r="K359" i="15"/>
  <c r="K362" i="15"/>
  <c r="K379" i="15"/>
  <c r="M392" i="15"/>
  <c r="P392" i="15" s="1"/>
  <c r="P394" i="15"/>
  <c r="L688" i="15"/>
  <c r="O688" i="15" s="1"/>
  <c r="K700" i="15"/>
  <c r="K823" i="15"/>
  <c r="K826" i="15"/>
  <c r="L12" i="16"/>
  <c r="P22" i="16"/>
  <c r="L69" i="16"/>
  <c r="O71" i="16"/>
  <c r="L72" i="16"/>
  <c r="O72" i="16" s="1"/>
  <c r="O74" i="16"/>
  <c r="M91" i="16"/>
  <c r="P91" i="16" s="1"/>
  <c r="M23" i="16"/>
  <c r="P93" i="16"/>
  <c r="M125" i="16"/>
  <c r="P125" i="16" s="1"/>
  <c r="P127" i="16"/>
  <c r="J143" i="16"/>
  <c r="J131" i="16" s="1"/>
  <c r="K145" i="16"/>
  <c r="I143" i="16"/>
  <c r="M151" i="16"/>
  <c r="M264" i="16"/>
  <c r="P264" i="16" s="1"/>
  <c r="P266" i="16"/>
  <c r="N280" i="16"/>
  <c r="P282" i="16"/>
  <c r="K288" i="16"/>
  <c r="K372" i="15"/>
  <c r="M9" i="16"/>
  <c r="O125" i="16"/>
  <c r="O150" i="16"/>
  <c r="L238" i="16"/>
  <c r="L304" i="16"/>
  <c r="O304" i="16" s="1"/>
  <c r="O306" i="16"/>
  <c r="L300" i="16"/>
  <c r="K379" i="16"/>
  <c r="O755" i="16"/>
  <c r="L754" i="16"/>
  <c r="O754" i="16" s="1"/>
  <c r="L33" i="16"/>
  <c r="N44" i="16"/>
  <c r="O54" i="16"/>
  <c r="N69" i="16"/>
  <c r="P69" i="16" s="1"/>
  <c r="P133" i="16"/>
  <c r="L135" i="16"/>
  <c r="O135" i="16" s="1"/>
  <c r="L138" i="16"/>
  <c r="O138" i="16" s="1"/>
  <c r="M168" i="16"/>
  <c r="M171" i="16"/>
  <c r="P171" i="16" s="1"/>
  <c r="M184" i="16"/>
  <c r="M187" i="16"/>
  <c r="P187" i="16" s="1"/>
  <c r="I233" i="16"/>
  <c r="K233" i="16" s="1"/>
  <c r="M301" i="16"/>
  <c r="L317" i="16"/>
  <c r="O317" i="16" s="1"/>
  <c r="K561" i="16"/>
  <c r="O686" i="16"/>
  <c r="L685" i="16"/>
  <c r="O685" i="16" s="1"/>
  <c r="P755" i="16"/>
  <c r="M754" i="16"/>
  <c r="P754" i="16" s="1"/>
  <c r="N789" i="16"/>
  <c r="I77" i="16"/>
  <c r="N168" i="16"/>
  <c r="O168" i="16" s="1"/>
  <c r="N184" i="16"/>
  <c r="O184" i="16" s="1"/>
  <c r="N301" i="16"/>
  <c r="O301" i="16" s="1"/>
  <c r="L526" i="16"/>
  <c r="O526" i="16" s="1"/>
  <c r="O528" i="16"/>
  <c r="K620" i="16"/>
  <c r="L737" i="16"/>
  <c r="O737" i="16" s="1"/>
  <c r="L770" i="16"/>
  <c r="O770" i="16" s="1"/>
  <c r="P525" i="16"/>
  <c r="M523" i="16"/>
  <c r="P523" i="16" s="1"/>
  <c r="N544" i="16"/>
  <c r="N414" i="16" s="1"/>
  <c r="I785" i="16"/>
  <c r="K785" i="16" s="1"/>
  <c r="K800" i="16"/>
  <c r="P807" i="16"/>
  <c r="M805" i="16"/>
  <c r="P805" i="16" s="1"/>
  <c r="K80" i="16"/>
  <c r="I237" i="16"/>
  <c r="L249" i="16"/>
  <c r="O249" i="16" s="1"/>
  <c r="N300" i="16"/>
  <c r="L422" i="16"/>
  <c r="O422" i="16" s="1"/>
  <c r="O479" i="16"/>
  <c r="L469" i="16"/>
  <c r="O524" i="16"/>
  <c r="L632" i="16"/>
  <c r="O632" i="16" s="1"/>
  <c r="P738" i="16"/>
  <c r="M737" i="16"/>
  <c r="P737" i="16" s="1"/>
  <c r="P771" i="16"/>
  <c r="M770" i="16"/>
  <c r="P770" i="16" s="1"/>
  <c r="L789" i="16"/>
  <c r="O789" i="16" s="1"/>
  <c r="O791" i="16"/>
  <c r="O806" i="16"/>
  <c r="L805" i="16"/>
  <c r="O805" i="16" s="1"/>
  <c r="N330" i="16"/>
  <c r="N328" i="16" s="1"/>
  <c r="N526" i="16"/>
  <c r="K577" i="16"/>
  <c r="O641" i="16"/>
  <c r="P788" i="16"/>
  <c r="M786" i="16"/>
  <c r="P786" i="16" s="1"/>
  <c r="I654" i="16"/>
  <c r="K654" i="16" s="1"/>
  <c r="I442" i="16"/>
  <c r="K442" i="16" s="1"/>
  <c r="M171" i="14"/>
  <c r="P171" i="14" s="1"/>
  <c r="O557" i="14"/>
  <c r="K647" i="14"/>
  <c r="O44" i="15"/>
  <c r="J288" i="15"/>
  <c r="J275" i="15" s="1"/>
  <c r="K435" i="15"/>
  <c r="K593" i="15"/>
  <c r="K669" i="15"/>
  <c r="K725" i="15"/>
  <c r="L36" i="13"/>
  <c r="L34" i="13" s="1"/>
  <c r="O34" i="13" s="1"/>
  <c r="M330" i="15"/>
  <c r="N347" i="15"/>
  <c r="K370" i="15"/>
  <c r="M122" i="15"/>
  <c r="P122" i="15" s="1"/>
  <c r="M263" i="15"/>
  <c r="M261" i="15" s="1"/>
  <c r="O269" i="15"/>
  <c r="O285" i="15"/>
  <c r="N330" i="15"/>
  <c r="N328" i="15" s="1"/>
  <c r="K537" i="14"/>
  <c r="M26" i="15"/>
  <c r="M24" i="15" s="1"/>
  <c r="M151" i="15"/>
  <c r="M149" i="15" s="1"/>
  <c r="M183" i="15"/>
  <c r="M181" i="15" s="1"/>
  <c r="P285" i="15"/>
  <c r="O353" i="15"/>
  <c r="J721" i="15"/>
  <c r="K721" i="15" s="1"/>
  <c r="I297" i="9"/>
  <c r="K297" i="9" s="1"/>
  <c r="P320" i="15"/>
  <c r="K728" i="15"/>
  <c r="O56" i="15"/>
  <c r="L347" i="9"/>
  <c r="L345" i="9" s="1"/>
  <c r="L134" i="14"/>
  <c r="O134" i="14" s="1"/>
  <c r="J364" i="14"/>
  <c r="O431" i="14"/>
  <c r="L43" i="15"/>
  <c r="L41" i="15" s="1"/>
  <c r="O71" i="15"/>
  <c r="M90" i="15"/>
  <c r="M88" i="15" s="1"/>
  <c r="O91" i="15"/>
  <c r="O127" i="15"/>
  <c r="I174" i="15"/>
  <c r="K176" i="15"/>
  <c r="I248" i="15"/>
  <c r="K248" i="15" s="1"/>
  <c r="M267" i="15"/>
  <c r="P267" i="15" s="1"/>
  <c r="M280" i="15"/>
  <c r="P280" i="15" s="1"/>
  <c r="P282" i="15"/>
  <c r="M279" i="15"/>
  <c r="L408" i="15"/>
  <c r="O408" i="15" s="1"/>
  <c r="O410" i="15"/>
  <c r="L155" i="15"/>
  <c r="O155" i="15" s="1"/>
  <c r="O157" i="15"/>
  <c r="L429" i="15"/>
  <c r="O429" i="15" s="1"/>
  <c r="O431" i="15"/>
  <c r="M263" i="12"/>
  <c r="M261" i="12" s="1"/>
  <c r="K79" i="15"/>
  <c r="M134" i="12"/>
  <c r="M132" i="12" s="1"/>
  <c r="I86" i="14"/>
  <c r="K86" i="14" s="1"/>
  <c r="N43" i="15"/>
  <c r="N41" i="15" s="1"/>
  <c r="L69" i="15"/>
  <c r="O69" i="15" s="1"/>
  <c r="M68" i="15"/>
  <c r="M66" i="15" s="1"/>
  <c r="N90" i="15"/>
  <c r="N88" i="15" s="1"/>
  <c r="P137" i="15"/>
  <c r="M155" i="15"/>
  <c r="P155" i="15" s="1"/>
  <c r="N184" i="15"/>
  <c r="P184" i="15" s="1"/>
  <c r="M187" i="15"/>
  <c r="P187" i="15" s="1"/>
  <c r="I233" i="15"/>
  <c r="K233" i="15" s="1"/>
  <c r="I237" i="15"/>
  <c r="K237" i="15" s="1"/>
  <c r="L230" i="15"/>
  <c r="L304" i="15"/>
  <c r="O304" i="15" s="1"/>
  <c r="O306" i="15"/>
  <c r="L347" i="15"/>
  <c r="O350" i="15"/>
  <c r="L405" i="15"/>
  <c r="O405" i="15" s="1"/>
  <c r="O407" i="15"/>
  <c r="L404" i="15"/>
  <c r="M408" i="15"/>
  <c r="P408" i="15" s="1"/>
  <c r="P410" i="15"/>
  <c r="K537" i="15"/>
  <c r="I559" i="15"/>
  <c r="I543" i="15" s="1"/>
  <c r="K543" i="15" s="1"/>
  <c r="L639" i="15"/>
  <c r="O639" i="15" s="1"/>
  <c r="L631" i="15"/>
  <c r="L629" i="15" s="1"/>
  <c r="O629" i="15" s="1"/>
  <c r="L422" i="12"/>
  <c r="O422" i="12" s="1"/>
  <c r="O59" i="15"/>
  <c r="I208" i="15"/>
  <c r="K208" i="15" s="1"/>
  <c r="K215" i="15"/>
  <c r="L280" i="15"/>
  <c r="O280" i="15" s="1"/>
  <c r="O282" i="15"/>
  <c r="L279" i="15"/>
  <c r="O279" i="15" s="1"/>
  <c r="O331" i="14"/>
  <c r="I143" i="15"/>
  <c r="K145" i="15"/>
  <c r="P170" i="15"/>
  <c r="M168" i="15"/>
  <c r="P168" i="15" s="1"/>
  <c r="M405" i="15"/>
  <c r="P405" i="15" s="1"/>
  <c r="P407" i="15"/>
  <c r="M404" i="15"/>
  <c r="O137" i="15"/>
  <c r="L135" i="15"/>
  <c r="O135" i="15" s="1"/>
  <c r="L658" i="15"/>
  <c r="O658" i="15" s="1"/>
  <c r="O660" i="15"/>
  <c r="L657" i="15"/>
  <c r="P46" i="14"/>
  <c r="L90" i="14"/>
  <c r="L88" i="14" s="1"/>
  <c r="K159" i="14"/>
  <c r="O351" i="14"/>
  <c r="K822" i="14"/>
  <c r="K828" i="14"/>
  <c r="L33" i="15"/>
  <c r="L31" i="15" s="1"/>
  <c r="O31" i="15" s="1"/>
  <c r="N68" i="15"/>
  <c r="N66" i="15" s="1"/>
  <c r="M138" i="15"/>
  <c r="P138" i="15" s="1"/>
  <c r="N300" i="15"/>
  <c r="N298" i="15" s="1"/>
  <c r="O323" i="15"/>
  <c r="L321" i="15"/>
  <c r="O321" i="15" s="1"/>
  <c r="L317" i="15"/>
  <c r="O317" i="15" s="1"/>
  <c r="J327" i="15"/>
  <c r="K327" i="15" s="1"/>
  <c r="K365" i="15"/>
  <c r="I364" i="15"/>
  <c r="N391" i="15"/>
  <c r="N389" i="15" s="1"/>
  <c r="P397" i="15"/>
  <c r="M395" i="15"/>
  <c r="P395" i="15" s="1"/>
  <c r="N405" i="15"/>
  <c r="N404" i="15"/>
  <c r="N402" i="15" s="1"/>
  <c r="K460" i="15"/>
  <c r="L547" i="15"/>
  <c r="O547" i="15" s="1"/>
  <c r="L546" i="15"/>
  <c r="O549" i="15"/>
  <c r="I654" i="15"/>
  <c r="K673" i="15"/>
  <c r="K672" i="15"/>
  <c r="K675" i="15"/>
  <c r="J433" i="15"/>
  <c r="J417" i="15" s="1"/>
  <c r="K417" i="15" s="1"/>
  <c r="L525" i="15"/>
  <c r="O525" i="15" s="1"/>
  <c r="K708" i="15"/>
  <c r="K360" i="15"/>
  <c r="K437" i="15"/>
  <c r="O456" i="15"/>
  <c r="I216" i="15"/>
  <c r="K216" i="15" s="1"/>
  <c r="M321" i="15"/>
  <c r="P321" i="15" s="1"/>
  <c r="O535" i="15"/>
  <c r="O557" i="15"/>
  <c r="O690" i="15"/>
  <c r="K726" i="15"/>
  <c r="I112" i="15"/>
  <c r="K112" i="15" s="1"/>
  <c r="P186" i="15"/>
  <c r="M334" i="15"/>
  <c r="P334" i="15" s="1"/>
  <c r="K374" i="15"/>
  <c r="K821" i="15"/>
  <c r="K824" i="15"/>
  <c r="K827" i="15"/>
  <c r="N9" i="15"/>
  <c r="M44" i="15"/>
  <c r="P44" i="15" s="1"/>
  <c r="P46" i="15"/>
  <c r="M72" i="15"/>
  <c r="P72" i="15" s="1"/>
  <c r="P74" i="15"/>
  <c r="L171" i="15"/>
  <c r="O171" i="15" s="1"/>
  <c r="O173" i="15"/>
  <c r="O333" i="15"/>
  <c r="L330" i="15"/>
  <c r="O394" i="15"/>
  <c r="L391" i="15"/>
  <c r="L392" i="15"/>
  <c r="O392" i="15" s="1"/>
  <c r="K379" i="9"/>
  <c r="O535" i="13"/>
  <c r="N134" i="14"/>
  <c r="N132" i="14" s="1"/>
  <c r="M183" i="14"/>
  <c r="M181" i="14" s="1"/>
  <c r="L279" i="14"/>
  <c r="L277" i="14" s="1"/>
  <c r="M304" i="14"/>
  <c r="P304" i="14" s="1"/>
  <c r="N300" i="14"/>
  <c r="N298" i="14" s="1"/>
  <c r="L33" i="14"/>
  <c r="L31" i="14" s="1"/>
  <c r="O31" i="14" s="1"/>
  <c r="N26" i="15"/>
  <c r="M30" i="15"/>
  <c r="P30" i="15" s="1"/>
  <c r="P61" i="15"/>
  <c r="K86" i="15"/>
  <c r="L238" i="15"/>
  <c r="O316" i="15"/>
  <c r="K325" i="15"/>
  <c r="L331" i="15"/>
  <c r="O331" i="15" s="1"/>
  <c r="L477" i="15"/>
  <c r="O477" i="15" s="1"/>
  <c r="O479" i="15"/>
  <c r="L469" i="15"/>
  <c r="L36" i="15"/>
  <c r="O36" i="15" s="1"/>
  <c r="O524" i="15"/>
  <c r="O687" i="15"/>
  <c r="P738" i="15"/>
  <c r="M737" i="15"/>
  <c r="P737" i="15" s="1"/>
  <c r="K370" i="13"/>
  <c r="M59" i="14"/>
  <c r="P59" i="14" s="1"/>
  <c r="P137" i="14"/>
  <c r="P189" i="14"/>
  <c r="K224" i="14"/>
  <c r="N304" i="14"/>
  <c r="K362" i="14"/>
  <c r="I442" i="14"/>
  <c r="K442" i="14" s="1"/>
  <c r="J722" i="14"/>
  <c r="L23" i="15"/>
  <c r="L29" i="15"/>
  <c r="P42" i="15"/>
  <c r="M47" i="15"/>
  <c r="P47" i="15" s="1"/>
  <c r="P49" i="15"/>
  <c r="N55" i="15"/>
  <c r="O58" i="15"/>
  <c r="P93" i="15"/>
  <c r="I130" i="15"/>
  <c r="K130" i="15" s="1"/>
  <c r="K146" i="15"/>
  <c r="M171" i="15"/>
  <c r="P171" i="15" s="1"/>
  <c r="L184" i="15"/>
  <c r="O186" i="15"/>
  <c r="K204" i="15"/>
  <c r="I197" i="15"/>
  <c r="K197" i="15" s="1"/>
  <c r="N264" i="15"/>
  <c r="P264" i="15" s="1"/>
  <c r="P266" i="15"/>
  <c r="P346" i="15"/>
  <c r="L422" i="15"/>
  <c r="O422" i="15" s="1"/>
  <c r="O424" i="15"/>
  <c r="L421" i="15"/>
  <c r="L228" i="13"/>
  <c r="L525" i="13"/>
  <c r="O525" i="13" s="1"/>
  <c r="O61" i="14"/>
  <c r="L72" i="14"/>
  <c r="O72" i="14" s="1"/>
  <c r="M184" i="14"/>
  <c r="I190" i="14"/>
  <c r="K190" i="14" s="1"/>
  <c r="M334" i="14"/>
  <c r="P334" i="14" s="1"/>
  <c r="O397" i="14"/>
  <c r="O424" i="14"/>
  <c r="O449" i="14"/>
  <c r="L15" i="15"/>
  <c r="M23" i="15"/>
  <c r="P56" i="15"/>
  <c r="K98" i="15"/>
  <c r="K148" i="15"/>
  <c r="P154" i="15"/>
  <c r="M167" i="15"/>
  <c r="K236" i="15"/>
  <c r="L263" i="15"/>
  <c r="O266" i="15"/>
  <c r="L301" i="15"/>
  <c r="O301" i="15" s="1"/>
  <c r="O303" i="15"/>
  <c r="L334" i="15"/>
  <c r="O334" i="15" s="1"/>
  <c r="N348" i="15"/>
  <c r="P350" i="15"/>
  <c r="I276" i="13"/>
  <c r="K276" i="13" s="1"/>
  <c r="K215" i="14"/>
  <c r="I248" i="14"/>
  <c r="K248" i="14" s="1"/>
  <c r="L391" i="14"/>
  <c r="O391" i="14" s="1"/>
  <c r="L446" i="14"/>
  <c r="L444" i="14" s="1"/>
  <c r="O444" i="14" s="1"/>
  <c r="L525" i="14"/>
  <c r="O525" i="14" s="1"/>
  <c r="M15" i="15"/>
  <c r="N23" i="15"/>
  <c r="N29" i="15"/>
  <c r="N28" i="15" s="1"/>
  <c r="O32" i="15"/>
  <c r="M43" i="15"/>
  <c r="O61" i="15"/>
  <c r="M69" i="15"/>
  <c r="P69" i="15" s="1"/>
  <c r="P71" i="15"/>
  <c r="L90" i="15"/>
  <c r="O93" i="15"/>
  <c r="L121" i="15"/>
  <c r="O124" i="15"/>
  <c r="L168" i="15"/>
  <c r="O168" i="15" s="1"/>
  <c r="O170" i="15"/>
  <c r="L187" i="15"/>
  <c r="O187" i="15" s="1"/>
  <c r="O189" i="15"/>
  <c r="L198" i="15"/>
  <c r="O198" i="15" s="1"/>
  <c r="L249" i="15"/>
  <c r="O249" i="15" s="1"/>
  <c r="P303" i="15"/>
  <c r="M300" i="15"/>
  <c r="K822" i="13"/>
  <c r="K828" i="13"/>
  <c r="I76" i="14"/>
  <c r="I64" i="14" s="1"/>
  <c r="K64" i="14" s="1"/>
  <c r="L209" i="14"/>
  <c r="O209" i="14" s="1"/>
  <c r="L321" i="14"/>
  <c r="O321" i="14" s="1"/>
  <c r="K370" i="14"/>
  <c r="L421" i="14"/>
  <c r="L419" i="14" s="1"/>
  <c r="O419" i="14" s="1"/>
  <c r="L26" i="15"/>
  <c r="O46" i="15"/>
  <c r="P54" i="15"/>
  <c r="P58" i="15"/>
  <c r="P59" i="15"/>
  <c r="I87" i="15"/>
  <c r="K87" i="15" s="1"/>
  <c r="K99" i="15"/>
  <c r="L151" i="15"/>
  <c r="O154" i="15"/>
  <c r="O182" i="15"/>
  <c r="L209" i="15"/>
  <c r="O209" i="15" s="1"/>
  <c r="N263" i="15"/>
  <c r="M301" i="15"/>
  <c r="P301" i="15" s="1"/>
  <c r="M304" i="15"/>
  <c r="P304" i="15" s="1"/>
  <c r="P306" i="15"/>
  <c r="O787" i="15"/>
  <c r="L786" i="15"/>
  <c r="O786" i="15" s="1"/>
  <c r="K355" i="15"/>
  <c r="L447" i="15"/>
  <c r="O447" i="15" s="1"/>
  <c r="O449" i="15"/>
  <c r="K561" i="15"/>
  <c r="L632" i="15"/>
  <c r="O632" i="15" s="1"/>
  <c r="O634" i="15"/>
  <c r="P687" i="15"/>
  <c r="M685" i="15"/>
  <c r="P685" i="15" s="1"/>
  <c r="K723" i="15"/>
  <c r="P807" i="15"/>
  <c r="M805" i="15"/>
  <c r="P805" i="15" s="1"/>
  <c r="M31" i="15"/>
  <c r="P31" i="15" s="1"/>
  <c r="O686" i="15"/>
  <c r="L685" i="15"/>
  <c r="P755" i="15"/>
  <c r="M754" i="15"/>
  <c r="P754" i="15" s="1"/>
  <c r="I785" i="15"/>
  <c r="K785" i="15" s="1"/>
  <c r="K800" i="15"/>
  <c r="O806" i="15"/>
  <c r="L805" i="15"/>
  <c r="O805" i="15" s="1"/>
  <c r="I275" i="15"/>
  <c r="K275" i="15" s="1"/>
  <c r="P316" i="15"/>
  <c r="P333" i="15"/>
  <c r="K338" i="15"/>
  <c r="L395" i="15"/>
  <c r="O395" i="15" s="1"/>
  <c r="I434" i="15"/>
  <c r="K438" i="15"/>
  <c r="P525" i="15"/>
  <c r="M523" i="15"/>
  <c r="J537" i="15"/>
  <c r="J522" i="15" s="1"/>
  <c r="P771" i="15"/>
  <c r="M770" i="15"/>
  <c r="P770" i="15" s="1"/>
  <c r="P788" i="15"/>
  <c r="M786" i="15"/>
  <c r="P786" i="15" s="1"/>
  <c r="O528" i="15"/>
  <c r="N687" i="15"/>
  <c r="N685" i="15" s="1"/>
  <c r="N414" i="15" s="1"/>
  <c r="O791" i="15"/>
  <c r="J654" i="15"/>
  <c r="J722" i="15"/>
  <c r="K722" i="15" s="1"/>
  <c r="M171" i="12"/>
  <c r="P171" i="12" s="1"/>
  <c r="N330" i="12"/>
  <c r="N328" i="12" s="1"/>
  <c r="N391" i="12"/>
  <c r="N389" i="12" s="1"/>
  <c r="I785" i="13"/>
  <c r="K785" i="13" s="1"/>
  <c r="N43" i="14"/>
  <c r="N41" i="14" s="1"/>
  <c r="N69" i="14"/>
  <c r="M94" i="14"/>
  <c r="P94" i="14" s="1"/>
  <c r="N138" i="14"/>
  <c r="L238" i="14"/>
  <c r="O238" i="14" s="1"/>
  <c r="I314" i="14"/>
  <c r="K314" i="14" s="1"/>
  <c r="M391" i="14"/>
  <c r="P391" i="14" s="1"/>
  <c r="M395" i="14"/>
  <c r="P395" i="14" s="1"/>
  <c r="L470" i="14"/>
  <c r="O470" i="14" s="1"/>
  <c r="K99" i="14"/>
  <c r="L280" i="14"/>
  <c r="O280" i="14" s="1"/>
  <c r="N279" i="14"/>
  <c r="K340" i="14"/>
  <c r="K379" i="14"/>
  <c r="O456" i="14"/>
  <c r="K801" i="14"/>
  <c r="K821" i="14"/>
  <c r="K824" i="14"/>
  <c r="K827" i="14"/>
  <c r="O74" i="13"/>
  <c r="M134" i="14"/>
  <c r="P134" i="14" s="1"/>
  <c r="L198" i="14"/>
  <c r="O198" i="14" s="1"/>
  <c r="O282" i="14"/>
  <c r="J785" i="14"/>
  <c r="L26" i="14"/>
  <c r="L24" i="14" s="1"/>
  <c r="P154" i="14"/>
  <c r="M317" i="14"/>
  <c r="P317" i="14" s="1"/>
  <c r="M347" i="14"/>
  <c r="M345" i="14" s="1"/>
  <c r="K78" i="14"/>
  <c r="M90" i="14"/>
  <c r="M88" i="14" s="1"/>
  <c r="M263" i="14"/>
  <c r="M261" i="14" s="1"/>
  <c r="L334" i="14"/>
  <c r="O334" i="14" s="1"/>
  <c r="J143" i="14"/>
  <c r="J131" i="14" s="1"/>
  <c r="I143" i="14"/>
  <c r="K143" i="14" s="1"/>
  <c r="K145" i="14"/>
  <c r="P336" i="12"/>
  <c r="M334" i="12"/>
  <c r="P334" i="12" s="1"/>
  <c r="L230" i="14"/>
  <c r="P353" i="14"/>
  <c r="M351" i="14"/>
  <c r="P351" i="14" s="1"/>
  <c r="P407" i="14"/>
  <c r="M405" i="14"/>
  <c r="P405" i="14" s="1"/>
  <c r="O96" i="13"/>
  <c r="L94" i="13"/>
  <c r="O94" i="13" s="1"/>
  <c r="P285" i="14"/>
  <c r="M279" i="14"/>
  <c r="I297" i="14"/>
  <c r="K297" i="14" s="1"/>
  <c r="K309" i="14"/>
  <c r="K539" i="14"/>
  <c r="J537" i="14"/>
  <c r="J522" i="14" s="1"/>
  <c r="M300" i="14"/>
  <c r="P300" i="14" s="1"/>
  <c r="P303" i="14"/>
  <c r="M301" i="14"/>
  <c r="P301" i="14" s="1"/>
  <c r="O320" i="14"/>
  <c r="L318" i="14"/>
  <c r="O318" i="14" s="1"/>
  <c r="L317" i="14"/>
  <c r="O317" i="14" s="1"/>
  <c r="P348" i="14"/>
  <c r="L632" i="14"/>
  <c r="O632" i="14" s="1"/>
  <c r="O634" i="14"/>
  <c r="L631" i="14"/>
  <c r="O791" i="14"/>
  <c r="L788" i="14"/>
  <c r="L786" i="14" s="1"/>
  <c r="O786" i="14" s="1"/>
  <c r="M72" i="14"/>
  <c r="P72" i="14" s="1"/>
  <c r="L184" i="14"/>
  <c r="L183" i="14"/>
  <c r="L181" i="14" s="1"/>
  <c r="L230" i="12"/>
  <c r="N347" i="12"/>
  <c r="N345" i="12" s="1"/>
  <c r="O71" i="13"/>
  <c r="O186" i="13"/>
  <c r="L209" i="13"/>
  <c r="O209" i="13" s="1"/>
  <c r="N23" i="14"/>
  <c r="N13" i="14" s="1"/>
  <c r="L36" i="14"/>
  <c r="O56" i="14"/>
  <c r="L138" i="14"/>
  <c r="O138" i="14" s="1"/>
  <c r="M267" i="14"/>
  <c r="P267" i="14" s="1"/>
  <c r="P269" i="14"/>
  <c r="L283" i="14"/>
  <c r="O283" i="14" s="1"/>
  <c r="K338" i="14"/>
  <c r="K369" i="14"/>
  <c r="K372" i="14"/>
  <c r="N391" i="14"/>
  <c r="N389" i="14" s="1"/>
  <c r="J433" i="14"/>
  <c r="J417" i="14" s="1"/>
  <c r="O472" i="14"/>
  <c r="N23" i="13"/>
  <c r="N21" i="13" s="1"/>
  <c r="L330" i="13"/>
  <c r="L328" i="13" s="1"/>
  <c r="L391" i="13"/>
  <c r="L389" i="13" s="1"/>
  <c r="O389" i="13" s="1"/>
  <c r="J327" i="14"/>
  <c r="K327" i="14" s="1"/>
  <c r="O353" i="14"/>
  <c r="K594" i="14"/>
  <c r="M55" i="14"/>
  <c r="M53" i="14" s="1"/>
  <c r="M121" i="14"/>
  <c r="P121" i="14" s="1"/>
  <c r="L135" i="14"/>
  <c r="O135" i="14" s="1"/>
  <c r="K146" i="14"/>
  <c r="P152" i="14"/>
  <c r="L187" i="14"/>
  <c r="O187" i="14" s="1"/>
  <c r="O266" i="14"/>
  <c r="N318" i="14"/>
  <c r="M330" i="14"/>
  <c r="M328" i="14" s="1"/>
  <c r="M392" i="14"/>
  <c r="P392" i="14" s="1"/>
  <c r="J721" i="14"/>
  <c r="P266" i="11"/>
  <c r="N44" i="14"/>
  <c r="O44" i="14" s="1"/>
  <c r="M47" i="14"/>
  <c r="P47" i="14" s="1"/>
  <c r="M56" i="14"/>
  <c r="P56" i="14" s="1"/>
  <c r="L69" i="14"/>
  <c r="O69" i="14" s="1"/>
  <c r="M91" i="14"/>
  <c r="P91" i="14" s="1"/>
  <c r="N90" i="14"/>
  <c r="N88" i="14" s="1"/>
  <c r="M26" i="14"/>
  <c r="M24" i="14" s="1"/>
  <c r="M122" i="14"/>
  <c r="P122" i="14" s="1"/>
  <c r="M125" i="14"/>
  <c r="P125" i="14" s="1"/>
  <c r="L151" i="14"/>
  <c r="O151" i="14" s="1"/>
  <c r="L249" i="14"/>
  <c r="O249" i="14" s="1"/>
  <c r="N263" i="14"/>
  <c r="N261" i="14" s="1"/>
  <c r="P282" i="14"/>
  <c r="P331" i="14"/>
  <c r="K378" i="14"/>
  <c r="K381" i="14"/>
  <c r="O394" i="14"/>
  <c r="O641" i="14"/>
  <c r="K823" i="14"/>
  <c r="K821" i="12"/>
  <c r="K824" i="12"/>
  <c r="K827" i="12"/>
  <c r="L90" i="13"/>
  <c r="L88" i="13" s="1"/>
  <c r="L279" i="13"/>
  <c r="O279" i="13" s="1"/>
  <c r="M283" i="13"/>
  <c r="P283" i="13" s="1"/>
  <c r="K309" i="13"/>
  <c r="N317" i="13"/>
  <c r="N315" i="13" s="1"/>
  <c r="K325" i="13"/>
  <c r="L217" i="14"/>
  <c r="O217" i="14" s="1"/>
  <c r="L229" i="14"/>
  <c r="K649" i="14"/>
  <c r="P19" i="14"/>
  <c r="L9" i="14"/>
  <c r="O12" i="14"/>
  <c r="M28" i="14"/>
  <c r="P28" i="14" s="1"/>
  <c r="P29" i="14"/>
  <c r="L19" i="14"/>
  <c r="N167" i="9"/>
  <c r="N165" i="9" s="1"/>
  <c r="K111" i="12"/>
  <c r="N263" i="12"/>
  <c r="L391" i="12"/>
  <c r="O391" i="12" s="1"/>
  <c r="I434" i="12"/>
  <c r="K434" i="12" s="1"/>
  <c r="L125" i="13"/>
  <c r="O125" i="13" s="1"/>
  <c r="M135" i="13"/>
  <c r="P135" i="13" s="1"/>
  <c r="O137" i="13"/>
  <c r="L151" i="13"/>
  <c r="L149" i="13" s="1"/>
  <c r="L167" i="13"/>
  <c r="L165" i="13" s="1"/>
  <c r="P320" i="13"/>
  <c r="M347" i="13"/>
  <c r="M345" i="13" s="1"/>
  <c r="K360" i="13"/>
  <c r="N15" i="14"/>
  <c r="M34" i="14"/>
  <c r="P34" i="14" s="1"/>
  <c r="M44" i="14"/>
  <c r="L23" i="14"/>
  <c r="L21" i="14" s="1"/>
  <c r="L55" i="14"/>
  <c r="L68" i="14"/>
  <c r="O68" i="14" s="1"/>
  <c r="K79" i="14"/>
  <c r="I77" i="14"/>
  <c r="O127" i="14"/>
  <c r="L125" i="14"/>
  <c r="O125" i="14" s="1"/>
  <c r="M151" i="14"/>
  <c r="M149" i="14" s="1"/>
  <c r="P157" i="14"/>
  <c r="L171" i="14"/>
  <c r="O171" i="14" s="1"/>
  <c r="L304" i="14"/>
  <c r="O304" i="14" s="1"/>
  <c r="L300" i="14"/>
  <c r="O300" i="14" s="1"/>
  <c r="O306" i="14"/>
  <c r="N414" i="14"/>
  <c r="O549" i="14"/>
  <c r="L546" i="14"/>
  <c r="L547" i="14"/>
  <c r="O547" i="14" s="1"/>
  <c r="I559" i="14"/>
  <c r="K576" i="14"/>
  <c r="M69" i="14"/>
  <c r="P69" i="14" s="1"/>
  <c r="N122" i="14"/>
  <c r="N168" i="14"/>
  <c r="P168" i="14" s="1"/>
  <c r="P170" i="14"/>
  <c r="I417" i="14"/>
  <c r="N43" i="13"/>
  <c r="N41" i="13" s="1"/>
  <c r="L91" i="13"/>
  <c r="O91" i="13" s="1"/>
  <c r="M125" i="13"/>
  <c r="P125" i="13" s="1"/>
  <c r="K355" i="13"/>
  <c r="P12" i="14"/>
  <c r="N19" i="14"/>
  <c r="N12" i="14"/>
  <c r="N26" i="14"/>
  <c r="N34" i="14"/>
  <c r="P35" i="14"/>
  <c r="L43" i="14"/>
  <c r="O58" i="14"/>
  <c r="M68" i="14"/>
  <c r="P93" i="14"/>
  <c r="O96" i="14"/>
  <c r="L94" i="14"/>
  <c r="O94" i="14" s="1"/>
  <c r="N151" i="14"/>
  <c r="N149" i="14" s="1"/>
  <c r="L167" i="14"/>
  <c r="O299" i="14"/>
  <c r="O316" i="14"/>
  <c r="M321" i="14"/>
  <c r="P321" i="14" s="1"/>
  <c r="P323" i="14"/>
  <c r="I364" i="12"/>
  <c r="N151" i="13"/>
  <c r="N149" i="13" s="1"/>
  <c r="M167" i="13"/>
  <c r="M165" i="13" s="1"/>
  <c r="L217" i="13"/>
  <c r="O217" i="13" s="1"/>
  <c r="L249" i="13"/>
  <c r="O249" i="13" s="1"/>
  <c r="M300" i="13"/>
  <c r="M298" i="13" s="1"/>
  <c r="P298" i="13" s="1"/>
  <c r="K381" i="13"/>
  <c r="M405" i="13"/>
  <c r="P405" i="13" s="1"/>
  <c r="O22" i="14"/>
  <c r="M43" i="14"/>
  <c r="O49" i="14"/>
  <c r="N55" i="14"/>
  <c r="O67" i="14"/>
  <c r="I112" i="14"/>
  <c r="K112" i="14" s="1"/>
  <c r="O133" i="14"/>
  <c r="P150" i="14"/>
  <c r="N183" i="14"/>
  <c r="I276" i="14"/>
  <c r="K276" i="14" s="1"/>
  <c r="K288" i="14"/>
  <c r="J275" i="14"/>
  <c r="O333" i="14"/>
  <c r="L330" i="14"/>
  <c r="P410" i="14"/>
  <c r="M404" i="14"/>
  <c r="M408" i="14"/>
  <c r="P408" i="14" s="1"/>
  <c r="I233" i="14"/>
  <c r="K233" i="14" s="1"/>
  <c r="K244" i="14"/>
  <c r="I237" i="14"/>
  <c r="L348" i="14"/>
  <c r="O348" i="14" s="1"/>
  <c r="O350" i="14"/>
  <c r="L347" i="14"/>
  <c r="P184" i="13"/>
  <c r="L334" i="13"/>
  <c r="O334" i="13" s="1"/>
  <c r="M31" i="14"/>
  <c r="P31" i="14" s="1"/>
  <c r="O46" i="14"/>
  <c r="P120" i="14"/>
  <c r="O124" i="14"/>
  <c r="L122" i="14"/>
  <c r="O122" i="14" s="1"/>
  <c r="N167" i="14"/>
  <c r="O170" i="14"/>
  <c r="P182" i="14"/>
  <c r="N184" i="14"/>
  <c r="P186" i="14"/>
  <c r="J592" i="14"/>
  <c r="K592" i="14" s="1"/>
  <c r="K593" i="14"/>
  <c r="O690" i="14"/>
  <c r="L687" i="14"/>
  <c r="O687" i="14" s="1"/>
  <c r="L688" i="14"/>
  <c r="O688" i="14" s="1"/>
  <c r="P58" i="13"/>
  <c r="O184" i="13"/>
  <c r="K359" i="13"/>
  <c r="K362" i="13"/>
  <c r="I442" i="13"/>
  <c r="K442" i="13" s="1"/>
  <c r="M9" i="14"/>
  <c r="M23" i="14"/>
  <c r="P89" i="14"/>
  <c r="O93" i="14"/>
  <c r="L91" i="14"/>
  <c r="O91" i="14" s="1"/>
  <c r="P140" i="14"/>
  <c r="I174" i="14"/>
  <c r="K176" i="14"/>
  <c r="L152" i="14"/>
  <c r="O152" i="14" s="1"/>
  <c r="L155" i="14"/>
  <c r="O155" i="14" s="1"/>
  <c r="O186" i="14"/>
  <c r="P262" i="14"/>
  <c r="L264" i="14"/>
  <c r="O264" i="14" s="1"/>
  <c r="L267" i="14"/>
  <c r="O267" i="14" s="1"/>
  <c r="M280" i="14"/>
  <c r="P280" i="14" s="1"/>
  <c r="M283" i="14"/>
  <c r="P283" i="14" s="1"/>
  <c r="P333" i="14"/>
  <c r="P350" i="14"/>
  <c r="K355" i="14"/>
  <c r="I364" i="14"/>
  <c r="K365" i="14"/>
  <c r="M629" i="14"/>
  <c r="P629" i="14" s="1"/>
  <c r="P468" i="14"/>
  <c r="M467" i="14"/>
  <c r="P467" i="14" s="1"/>
  <c r="L502" i="14"/>
  <c r="O502" i="14" s="1"/>
  <c r="K568" i="14"/>
  <c r="I654" i="14"/>
  <c r="K654" i="14" s="1"/>
  <c r="K674" i="14"/>
  <c r="K673" i="14"/>
  <c r="K669" i="14"/>
  <c r="K672" i="14"/>
  <c r="K675" i="14"/>
  <c r="P807" i="14"/>
  <c r="M805" i="14"/>
  <c r="P805" i="14" s="1"/>
  <c r="P419" i="14"/>
  <c r="K435" i="14"/>
  <c r="P555" i="14"/>
  <c r="M545" i="14"/>
  <c r="L658" i="14"/>
  <c r="O658" i="14" s="1"/>
  <c r="O660" i="14"/>
  <c r="N330" i="14"/>
  <c r="N328" i="14" s="1"/>
  <c r="L405" i="14"/>
  <c r="O405" i="14" s="1"/>
  <c r="O407" i="14"/>
  <c r="P503" i="14"/>
  <c r="M502" i="14"/>
  <c r="P502" i="14" s="1"/>
  <c r="N629" i="14"/>
  <c r="I628" i="14"/>
  <c r="K628" i="14" s="1"/>
  <c r="K651" i="14"/>
  <c r="P657" i="14"/>
  <c r="M655" i="14"/>
  <c r="P655" i="14" s="1"/>
  <c r="O806" i="14"/>
  <c r="L805" i="14"/>
  <c r="O805" i="14" s="1"/>
  <c r="O303" i="14"/>
  <c r="P320" i="14"/>
  <c r="N347" i="14"/>
  <c r="K374" i="14"/>
  <c r="O403" i="14"/>
  <c r="L408" i="14"/>
  <c r="O408" i="14" s="1"/>
  <c r="O410" i="14"/>
  <c r="O656" i="14"/>
  <c r="L655" i="14"/>
  <c r="O655" i="14" s="1"/>
  <c r="N808" i="14"/>
  <c r="L526" i="14"/>
  <c r="O526" i="14" s="1"/>
  <c r="I785" i="14"/>
  <c r="L789" i="14"/>
  <c r="O789" i="14" s="1"/>
  <c r="I434" i="14"/>
  <c r="L477" i="14"/>
  <c r="O477" i="14" s="1"/>
  <c r="L469" i="14"/>
  <c r="N183" i="11"/>
  <c r="N181" i="11" s="1"/>
  <c r="J721" i="11"/>
  <c r="K721" i="11" s="1"/>
  <c r="L187" i="12"/>
  <c r="O187" i="12" s="1"/>
  <c r="N47" i="13"/>
  <c r="N55" i="13"/>
  <c r="N53" i="13" s="1"/>
  <c r="L121" i="13"/>
  <c r="O121" i="13" s="1"/>
  <c r="O170" i="13"/>
  <c r="N330" i="13"/>
  <c r="N328" i="13" s="1"/>
  <c r="K372" i="13"/>
  <c r="O472" i="13"/>
  <c r="I148" i="8"/>
  <c r="K148" i="8" s="1"/>
  <c r="L230" i="10"/>
  <c r="L279" i="12"/>
  <c r="O303" i="12"/>
  <c r="O528" i="12"/>
  <c r="N56" i="13"/>
  <c r="K98" i="13"/>
  <c r="N121" i="13"/>
  <c r="N119" i="13" s="1"/>
  <c r="P170" i="13"/>
  <c r="J288" i="13"/>
  <c r="J275" i="13" s="1"/>
  <c r="M321" i="13"/>
  <c r="P321" i="13" s="1"/>
  <c r="L347" i="13"/>
  <c r="L345" i="13" s="1"/>
  <c r="I364" i="13"/>
  <c r="L404" i="13"/>
  <c r="O404" i="13" s="1"/>
  <c r="L687" i="13"/>
  <c r="O687" i="13" s="1"/>
  <c r="I276" i="10"/>
  <c r="K276" i="10" s="1"/>
  <c r="N121" i="12"/>
  <c r="N119" i="12" s="1"/>
  <c r="L125" i="12"/>
  <c r="O125" i="12" s="1"/>
  <c r="M321" i="12"/>
  <c r="P321" i="12" s="1"/>
  <c r="P74" i="13"/>
  <c r="L171" i="13"/>
  <c r="O171" i="13" s="1"/>
  <c r="P186" i="13"/>
  <c r="N183" i="13"/>
  <c r="L267" i="13"/>
  <c r="O267" i="13" s="1"/>
  <c r="O285" i="13"/>
  <c r="K288" i="13"/>
  <c r="K338" i="13"/>
  <c r="K378" i="13"/>
  <c r="M391" i="13"/>
  <c r="P391" i="13" s="1"/>
  <c r="L395" i="13"/>
  <c r="O395" i="13" s="1"/>
  <c r="N404" i="13"/>
  <c r="N402" i="13" s="1"/>
  <c r="O549" i="13"/>
  <c r="I628" i="13"/>
  <c r="K628" i="13" s="1"/>
  <c r="K669" i="13"/>
  <c r="J722" i="13"/>
  <c r="K823" i="13"/>
  <c r="J364" i="13"/>
  <c r="O44" i="12"/>
  <c r="I237" i="12"/>
  <c r="K237" i="12" s="1"/>
  <c r="L187" i="13"/>
  <c r="O187" i="13" s="1"/>
  <c r="O333" i="13"/>
  <c r="O410" i="13"/>
  <c r="I434" i="13"/>
  <c r="K434" i="13" s="1"/>
  <c r="I443" i="13"/>
  <c r="K443" i="13" s="1"/>
  <c r="L546" i="13"/>
  <c r="O546" i="13" s="1"/>
  <c r="O282" i="10"/>
  <c r="L546" i="11"/>
  <c r="O546" i="11" s="1"/>
  <c r="I87" i="12"/>
  <c r="K87" i="12" s="1"/>
  <c r="N331" i="12"/>
  <c r="O331" i="12" s="1"/>
  <c r="M68" i="13"/>
  <c r="P68" i="13" s="1"/>
  <c r="I130" i="13"/>
  <c r="K130" i="13" s="1"/>
  <c r="L134" i="13"/>
  <c r="O134" i="13" s="1"/>
  <c r="K176" i="13"/>
  <c r="L183" i="13"/>
  <c r="L181" i="13" s="1"/>
  <c r="I216" i="13"/>
  <c r="K216" i="13" s="1"/>
  <c r="L231" i="13"/>
  <c r="M279" i="13"/>
  <c r="P279" i="13" s="1"/>
  <c r="O350" i="13"/>
  <c r="N68" i="10"/>
  <c r="N66" i="10" s="1"/>
  <c r="M121" i="11"/>
  <c r="P121" i="11" s="1"/>
  <c r="M264" i="11"/>
  <c r="P264" i="11" s="1"/>
  <c r="N301" i="12"/>
  <c r="P301" i="12" s="1"/>
  <c r="L304" i="12"/>
  <c r="O304" i="12" s="1"/>
  <c r="L33" i="13"/>
  <c r="M56" i="13"/>
  <c r="L68" i="13"/>
  <c r="O68" i="13" s="1"/>
  <c r="L122" i="13"/>
  <c r="O122" i="13" s="1"/>
  <c r="M134" i="13"/>
  <c r="P134" i="13" s="1"/>
  <c r="N152" i="13"/>
  <c r="P152" i="13" s="1"/>
  <c r="L155" i="13"/>
  <c r="O155" i="13" s="1"/>
  <c r="N167" i="13"/>
  <c r="N165" i="13" s="1"/>
  <c r="N187" i="13"/>
  <c r="K204" i="13"/>
  <c r="K244" i="13"/>
  <c r="M267" i="13"/>
  <c r="P267" i="13" s="1"/>
  <c r="N301" i="13"/>
  <c r="L304" i="13"/>
  <c r="O304" i="13" s="1"/>
  <c r="M317" i="13"/>
  <c r="L331" i="13"/>
  <c r="O331" i="13" s="1"/>
  <c r="K385" i="13"/>
  <c r="N391" i="13"/>
  <c r="N389" i="13" s="1"/>
  <c r="M408" i="13"/>
  <c r="P408" i="13" s="1"/>
  <c r="J537" i="13"/>
  <c r="J522" i="13" s="1"/>
  <c r="K539" i="13"/>
  <c r="I190" i="11"/>
  <c r="K190" i="11" s="1"/>
  <c r="M267" i="11"/>
  <c r="P267" i="11" s="1"/>
  <c r="L55" i="12"/>
  <c r="L53" i="12" s="1"/>
  <c r="I76" i="12"/>
  <c r="K76" i="12" s="1"/>
  <c r="N183" i="12"/>
  <c r="N181" i="12" s="1"/>
  <c r="K340" i="12"/>
  <c r="L23" i="13"/>
  <c r="L59" i="13"/>
  <c r="O59" i="13" s="1"/>
  <c r="I76" i="13"/>
  <c r="K76" i="13" s="1"/>
  <c r="I77" i="13"/>
  <c r="M90" i="13"/>
  <c r="M88" i="13" s="1"/>
  <c r="P96" i="13"/>
  <c r="N134" i="13"/>
  <c r="N132" i="13" s="1"/>
  <c r="O140" i="13"/>
  <c r="P173" i="13"/>
  <c r="P189" i="13"/>
  <c r="L198" i="13"/>
  <c r="O198" i="13" s="1"/>
  <c r="O282" i="13"/>
  <c r="L348" i="13"/>
  <c r="O353" i="13"/>
  <c r="O660" i="13"/>
  <c r="L657" i="13"/>
  <c r="O657" i="13" s="1"/>
  <c r="L318" i="13"/>
  <c r="O318" i="13" s="1"/>
  <c r="O74" i="11"/>
  <c r="I248" i="11"/>
  <c r="K248" i="11" s="1"/>
  <c r="P170" i="12"/>
  <c r="K80" i="13"/>
  <c r="K83" i="13"/>
  <c r="I87" i="13"/>
  <c r="K87" i="13" s="1"/>
  <c r="P140" i="13"/>
  <c r="I190" i="13"/>
  <c r="K190" i="13" s="1"/>
  <c r="I260" i="13"/>
  <c r="K260" i="13" s="1"/>
  <c r="K374" i="13"/>
  <c r="L392" i="13"/>
  <c r="O392" i="13" s="1"/>
  <c r="O394" i="13"/>
  <c r="L422" i="13"/>
  <c r="O422" i="13" s="1"/>
  <c r="P154" i="12"/>
  <c r="P44" i="13"/>
  <c r="O154" i="13"/>
  <c r="M183" i="13"/>
  <c r="L230" i="13"/>
  <c r="M263" i="13"/>
  <c r="P266" i="13"/>
  <c r="J327" i="13"/>
  <c r="K327" i="13" s="1"/>
  <c r="K369" i="13"/>
  <c r="K379" i="13"/>
  <c r="K647" i="11"/>
  <c r="K823" i="12"/>
  <c r="P154" i="13"/>
  <c r="K197" i="13"/>
  <c r="M404" i="13"/>
  <c r="L470" i="13"/>
  <c r="O470" i="13" s="1"/>
  <c r="L469" i="13"/>
  <c r="L467" i="13" s="1"/>
  <c r="J721" i="13"/>
  <c r="K537" i="13"/>
  <c r="O690" i="13"/>
  <c r="K821" i="13"/>
  <c r="K824" i="13"/>
  <c r="K827" i="13"/>
  <c r="O407" i="13"/>
  <c r="I433" i="13"/>
  <c r="I417" i="13" s="1"/>
  <c r="K673" i="13"/>
  <c r="K462" i="12"/>
  <c r="I443" i="12"/>
  <c r="K443" i="12" s="1"/>
  <c r="N43" i="11"/>
  <c r="N41" i="11" s="1"/>
  <c r="L55" i="11"/>
  <c r="L53" i="11" s="1"/>
  <c r="M90" i="11"/>
  <c r="M88" i="11" s="1"/>
  <c r="K435" i="11"/>
  <c r="N90" i="12"/>
  <c r="N88" i="12" s="1"/>
  <c r="O479" i="12"/>
  <c r="M59" i="13"/>
  <c r="P59" i="13" s="1"/>
  <c r="N72" i="13"/>
  <c r="N26" i="13"/>
  <c r="N24" i="13" s="1"/>
  <c r="M91" i="13"/>
  <c r="P91" i="13" s="1"/>
  <c r="P93" i="13"/>
  <c r="P133" i="13"/>
  <c r="M301" i="13"/>
  <c r="P301" i="13" s="1"/>
  <c r="O323" i="13"/>
  <c r="L317" i="13"/>
  <c r="O317" i="13" s="1"/>
  <c r="O788" i="13"/>
  <c r="L786" i="13"/>
  <c r="O786" i="13" s="1"/>
  <c r="O807" i="13"/>
  <c r="L805" i="13"/>
  <c r="O805" i="13" s="1"/>
  <c r="N43" i="10"/>
  <c r="N41" i="10" s="1"/>
  <c r="L55" i="10"/>
  <c r="L53" i="10" s="1"/>
  <c r="O424" i="10"/>
  <c r="L230" i="11"/>
  <c r="K701" i="11"/>
  <c r="O791" i="11"/>
  <c r="O58" i="12"/>
  <c r="O61" i="12"/>
  <c r="N94" i="12"/>
  <c r="L121" i="12"/>
  <c r="O121" i="12" s="1"/>
  <c r="L152" i="12"/>
  <c r="O152" i="12" s="1"/>
  <c r="O285" i="12"/>
  <c r="L283" i="12"/>
  <c r="O283" i="12" s="1"/>
  <c r="O89" i="13"/>
  <c r="O93" i="13"/>
  <c r="N90" i="13"/>
  <c r="M121" i="13"/>
  <c r="P168" i="13"/>
  <c r="O262" i="13"/>
  <c r="P739" i="13"/>
  <c r="M737" i="13"/>
  <c r="P737" i="13" s="1"/>
  <c r="O422" i="10"/>
  <c r="K224" i="12"/>
  <c r="I216" i="12"/>
  <c r="K216" i="12" s="1"/>
  <c r="L44" i="13"/>
  <c r="O44" i="13" s="1"/>
  <c r="O46" i="13"/>
  <c r="L43" i="13"/>
  <c r="O58" i="13"/>
  <c r="L55" i="13"/>
  <c r="O120" i="13"/>
  <c r="K174" i="13"/>
  <c r="I164" i="13"/>
  <c r="K164" i="13" s="1"/>
  <c r="K215" i="13"/>
  <c r="I208" i="13"/>
  <c r="K208" i="13" s="1"/>
  <c r="P157" i="13"/>
  <c r="M151" i="13"/>
  <c r="L317" i="9"/>
  <c r="O317" i="9" s="1"/>
  <c r="K359" i="11"/>
  <c r="I559" i="11"/>
  <c r="K559" i="11" s="1"/>
  <c r="I112" i="12"/>
  <c r="K112" i="12" s="1"/>
  <c r="I174" i="12"/>
  <c r="K174" i="12" s="1"/>
  <c r="N348" i="12"/>
  <c r="P348" i="12" s="1"/>
  <c r="P350" i="12"/>
  <c r="K360" i="12"/>
  <c r="O407" i="12"/>
  <c r="L405" i="12"/>
  <c r="O405" i="12" s="1"/>
  <c r="O12" i="13"/>
  <c r="O19" i="13"/>
  <c r="L26" i="13"/>
  <c r="L47" i="13"/>
  <c r="O47" i="13" s="1"/>
  <c r="O49" i="13"/>
  <c r="L56" i="13"/>
  <c r="M69" i="13"/>
  <c r="P69" i="13" s="1"/>
  <c r="P71" i="13"/>
  <c r="I112" i="13"/>
  <c r="K112" i="13" s="1"/>
  <c r="K145" i="13"/>
  <c r="I143" i="13"/>
  <c r="O168" i="13"/>
  <c r="O93" i="12"/>
  <c r="P19" i="13"/>
  <c r="M26" i="13"/>
  <c r="N68" i="13"/>
  <c r="N66" i="13" s="1"/>
  <c r="M122" i="13"/>
  <c r="P122" i="13" s="1"/>
  <c r="K237" i="13"/>
  <c r="O266" i="13"/>
  <c r="L263" i="13"/>
  <c r="L264" i="13"/>
  <c r="O264" i="13" s="1"/>
  <c r="N279" i="13"/>
  <c r="N277" i="13" s="1"/>
  <c r="L301" i="13"/>
  <c r="O301" i="13" s="1"/>
  <c r="O303" i="13"/>
  <c r="L300" i="13"/>
  <c r="N348" i="13"/>
  <c r="N347" i="13"/>
  <c r="P33" i="13"/>
  <c r="M30" i="13"/>
  <c r="P30" i="13" s="1"/>
  <c r="M23" i="13"/>
  <c r="M21" i="13" s="1"/>
  <c r="M280" i="13"/>
  <c r="P280" i="13" s="1"/>
  <c r="P282" i="13"/>
  <c r="O738" i="13"/>
  <c r="L737" i="13"/>
  <c r="O737" i="13" s="1"/>
  <c r="N770" i="13"/>
  <c r="M279" i="12"/>
  <c r="M277" i="12" s="1"/>
  <c r="L300" i="12"/>
  <c r="L298" i="12" s="1"/>
  <c r="N12" i="13"/>
  <c r="O32" i="13"/>
  <c r="L29" i="13"/>
  <c r="M43" i="13"/>
  <c r="M55" i="13"/>
  <c r="I148" i="13"/>
  <c r="K148" i="13" s="1"/>
  <c r="O150" i="13"/>
  <c r="I233" i="13"/>
  <c r="K233" i="13" s="1"/>
  <c r="M264" i="13"/>
  <c r="P264" i="13" s="1"/>
  <c r="P278" i="13"/>
  <c r="N334" i="13"/>
  <c r="P336" i="13"/>
  <c r="M334" i="13"/>
  <c r="P334" i="13" s="1"/>
  <c r="K340" i="13"/>
  <c r="P419" i="13"/>
  <c r="P282" i="12"/>
  <c r="K647" i="12"/>
  <c r="L15" i="13"/>
  <c r="N29" i="13"/>
  <c r="N28" i="13" s="1"/>
  <c r="J143" i="13"/>
  <c r="J131" i="13" s="1"/>
  <c r="K255" i="13"/>
  <c r="I248" i="13"/>
  <c r="K248" i="13" s="1"/>
  <c r="P306" i="13"/>
  <c r="M304" i="13"/>
  <c r="P304" i="13" s="1"/>
  <c r="O346" i="13"/>
  <c r="L429" i="13"/>
  <c r="O429" i="13" s="1"/>
  <c r="O431" i="13"/>
  <c r="L421" i="13"/>
  <c r="O353" i="12"/>
  <c r="K359" i="12"/>
  <c r="M9" i="13"/>
  <c r="P46" i="13"/>
  <c r="L238" i="13"/>
  <c r="P333" i="13"/>
  <c r="M331" i="13"/>
  <c r="P331" i="13" s="1"/>
  <c r="M330" i="13"/>
  <c r="N351" i="13"/>
  <c r="O351" i="13" s="1"/>
  <c r="P353" i="13"/>
  <c r="M351" i="13"/>
  <c r="L526" i="13"/>
  <c r="O526" i="13" s="1"/>
  <c r="O528" i="13"/>
  <c r="K592" i="13"/>
  <c r="P756" i="13"/>
  <c r="M754" i="13"/>
  <c r="P754" i="13" s="1"/>
  <c r="L789" i="13"/>
  <c r="O789" i="13" s="1"/>
  <c r="O791" i="13"/>
  <c r="K594" i="13"/>
  <c r="O755" i="13"/>
  <c r="L754" i="13"/>
  <c r="O754" i="13" s="1"/>
  <c r="N807" i="13"/>
  <c r="N808" i="13"/>
  <c r="P350" i="13"/>
  <c r="M348" i="13"/>
  <c r="L639" i="13"/>
  <c r="O639" i="13" s="1"/>
  <c r="O641" i="13"/>
  <c r="L631" i="13"/>
  <c r="O631" i="13" s="1"/>
  <c r="P772" i="13"/>
  <c r="M770" i="13"/>
  <c r="P770" i="13" s="1"/>
  <c r="K365" i="13"/>
  <c r="L454" i="13"/>
  <c r="O454" i="13" s="1"/>
  <c r="O456" i="13"/>
  <c r="L446" i="13"/>
  <c r="P545" i="13"/>
  <c r="M544" i="13"/>
  <c r="P544" i="13" s="1"/>
  <c r="N629" i="13"/>
  <c r="N754" i="13"/>
  <c r="O771" i="13"/>
  <c r="L770" i="13"/>
  <c r="O770" i="13" s="1"/>
  <c r="N805" i="13"/>
  <c r="M392" i="13"/>
  <c r="P392" i="13" s="1"/>
  <c r="M395" i="13"/>
  <c r="P395" i="13" s="1"/>
  <c r="O403" i="13"/>
  <c r="P468" i="13"/>
  <c r="P503" i="13"/>
  <c r="O656" i="13"/>
  <c r="K674" i="13"/>
  <c r="K675" i="13"/>
  <c r="M685" i="13"/>
  <c r="P685" i="13" s="1"/>
  <c r="M786" i="13"/>
  <c r="P786" i="13" s="1"/>
  <c r="M805" i="13"/>
  <c r="P805" i="13" s="1"/>
  <c r="J433" i="13"/>
  <c r="J417" i="13" s="1"/>
  <c r="N469" i="13"/>
  <c r="N467" i="13" s="1"/>
  <c r="K593" i="13"/>
  <c r="M629" i="13"/>
  <c r="P629" i="13" s="1"/>
  <c r="P74" i="12"/>
  <c r="M72" i="12"/>
  <c r="P72" i="12" s="1"/>
  <c r="J288" i="12"/>
  <c r="J275" i="12" s="1"/>
  <c r="I275" i="12"/>
  <c r="K309" i="12"/>
  <c r="I297" i="12"/>
  <c r="K297" i="12" s="1"/>
  <c r="K359" i="8"/>
  <c r="K362" i="8"/>
  <c r="K385" i="8"/>
  <c r="P154" i="11"/>
  <c r="N330" i="11"/>
  <c r="N328" i="11" s="1"/>
  <c r="N331" i="11"/>
  <c r="O331" i="11" s="1"/>
  <c r="O351" i="9"/>
  <c r="L134" i="10"/>
  <c r="O134" i="10" s="1"/>
  <c r="M279" i="11"/>
  <c r="M277" i="11" s="1"/>
  <c r="P189" i="12"/>
  <c r="M183" i="12"/>
  <c r="M181" i="12" s="1"/>
  <c r="M330" i="12"/>
  <c r="M331" i="12"/>
  <c r="K374" i="12"/>
  <c r="N69" i="12"/>
  <c r="N68" i="12"/>
  <c r="N66" i="12" s="1"/>
  <c r="K193" i="12"/>
  <c r="I190" i="12"/>
  <c r="K190" i="12" s="1"/>
  <c r="O336" i="12"/>
  <c r="L334" i="12"/>
  <c r="O334" i="12" s="1"/>
  <c r="M47" i="9"/>
  <c r="P47" i="9" s="1"/>
  <c r="I522" i="10"/>
  <c r="K522" i="10" s="1"/>
  <c r="P61" i="11"/>
  <c r="M125" i="11"/>
  <c r="P125" i="11" s="1"/>
  <c r="N55" i="12"/>
  <c r="N56" i="12"/>
  <c r="O56" i="12" s="1"/>
  <c r="L72" i="12"/>
  <c r="O72" i="12" s="1"/>
  <c r="O96" i="12"/>
  <c r="M121" i="12"/>
  <c r="L167" i="12"/>
  <c r="O170" i="12"/>
  <c r="L183" i="12"/>
  <c r="L217" i="12"/>
  <c r="O217" i="12" s="1"/>
  <c r="L231" i="12"/>
  <c r="L263" i="12"/>
  <c r="L351" i="12"/>
  <c r="O351" i="12" s="1"/>
  <c r="L392" i="12"/>
  <c r="O392" i="12" s="1"/>
  <c r="L395" i="12"/>
  <c r="O395" i="12" s="1"/>
  <c r="L546" i="12"/>
  <c r="L544" i="12" s="1"/>
  <c r="L657" i="12"/>
  <c r="K672" i="12"/>
  <c r="J722" i="12"/>
  <c r="P266" i="12"/>
  <c r="L318" i="12"/>
  <c r="O318" i="12" s="1"/>
  <c r="K369" i="12"/>
  <c r="K674" i="12"/>
  <c r="K822" i="12"/>
  <c r="K828" i="12"/>
  <c r="J785" i="11"/>
  <c r="P91" i="12"/>
  <c r="M168" i="12"/>
  <c r="P168" i="12" s="1"/>
  <c r="N167" i="12"/>
  <c r="N165" i="12" s="1"/>
  <c r="P351" i="11"/>
  <c r="L249" i="12"/>
  <c r="O249" i="12" s="1"/>
  <c r="L267" i="12"/>
  <c r="O267" i="12" s="1"/>
  <c r="M283" i="12"/>
  <c r="P283" i="12" s="1"/>
  <c r="N300" i="12"/>
  <c r="N298" i="12" s="1"/>
  <c r="K370" i="12"/>
  <c r="K460" i="12"/>
  <c r="J721" i="12"/>
  <c r="K360" i="11"/>
  <c r="M68" i="12"/>
  <c r="P68" i="12" s="1"/>
  <c r="P184" i="12"/>
  <c r="L330" i="12"/>
  <c r="K378" i="12"/>
  <c r="K381" i="12"/>
  <c r="N404" i="12"/>
  <c r="N402" i="12" s="1"/>
  <c r="J433" i="12"/>
  <c r="J417" i="12" s="1"/>
  <c r="K576" i="12"/>
  <c r="K649" i="12"/>
  <c r="O660" i="12"/>
  <c r="L688" i="12"/>
  <c r="O688" i="12" s="1"/>
  <c r="L658" i="6"/>
  <c r="O658" i="6" s="1"/>
  <c r="I654" i="3"/>
  <c r="K654" i="3" s="1"/>
  <c r="N134" i="11"/>
  <c r="N132" i="11" s="1"/>
  <c r="K204" i="11"/>
  <c r="L228" i="11"/>
  <c r="L33" i="12"/>
  <c r="O33" i="12" s="1"/>
  <c r="L47" i="12"/>
  <c r="O47" i="12" s="1"/>
  <c r="O59" i="12"/>
  <c r="L91" i="12"/>
  <c r="O91" i="12" s="1"/>
  <c r="I130" i="12"/>
  <c r="K130" i="12" s="1"/>
  <c r="O186" i="12"/>
  <c r="N304" i="12"/>
  <c r="K372" i="12"/>
  <c r="N405" i="12"/>
  <c r="L525" i="12"/>
  <c r="O535" i="12"/>
  <c r="L631" i="12"/>
  <c r="L629" i="12" s="1"/>
  <c r="O629" i="12" s="1"/>
  <c r="L347" i="10"/>
  <c r="L345" i="10" s="1"/>
  <c r="K159" i="11"/>
  <c r="J722" i="11"/>
  <c r="K722" i="11" s="1"/>
  <c r="M47" i="12"/>
  <c r="P47" i="12" s="1"/>
  <c r="N26" i="12"/>
  <c r="N16" i="12" s="1"/>
  <c r="L69" i="12"/>
  <c r="O69" i="12" s="1"/>
  <c r="I77" i="12"/>
  <c r="L134" i="12"/>
  <c r="L132" i="12" s="1"/>
  <c r="N152" i="12"/>
  <c r="M167" i="12"/>
  <c r="P285" i="12"/>
  <c r="P306" i="12"/>
  <c r="L321" i="12"/>
  <c r="O321" i="12" s="1"/>
  <c r="K385" i="12"/>
  <c r="N392" i="12"/>
  <c r="L408" i="12"/>
  <c r="O408" i="12" s="1"/>
  <c r="I433" i="12"/>
  <c r="I417" i="12" s="1"/>
  <c r="K435" i="12"/>
  <c r="O557" i="12"/>
  <c r="L231" i="9"/>
  <c r="L321" i="10"/>
  <c r="O321" i="10" s="1"/>
  <c r="N391" i="10"/>
  <c r="N389" i="10" s="1"/>
  <c r="K369" i="11"/>
  <c r="L36" i="12"/>
  <c r="L34" i="12" s="1"/>
  <c r="O34" i="12" s="1"/>
  <c r="M69" i="12"/>
  <c r="P69" i="12" s="1"/>
  <c r="P71" i="12"/>
  <c r="L90" i="12"/>
  <c r="K98" i="12"/>
  <c r="L122" i="12"/>
  <c r="O122" i="12" s="1"/>
  <c r="L151" i="12"/>
  <c r="L155" i="12"/>
  <c r="O155" i="12" s="1"/>
  <c r="L209" i="12"/>
  <c r="O209" i="12" s="1"/>
  <c r="L264" i="12"/>
  <c r="O264" i="12" s="1"/>
  <c r="J327" i="12"/>
  <c r="K327" i="12" s="1"/>
  <c r="L404" i="12"/>
  <c r="O404" i="12" s="1"/>
  <c r="K651" i="12"/>
  <c r="L788" i="12"/>
  <c r="O788" i="12" s="1"/>
  <c r="L429" i="4"/>
  <c r="O429" i="4" s="1"/>
  <c r="L631" i="10"/>
  <c r="O631" i="10" s="1"/>
  <c r="L26" i="12"/>
  <c r="L23" i="12"/>
  <c r="L68" i="12"/>
  <c r="O68" i="12" s="1"/>
  <c r="M90" i="12"/>
  <c r="O124" i="12"/>
  <c r="M151" i="12"/>
  <c r="O184" i="12"/>
  <c r="L198" i="12"/>
  <c r="O198" i="12" s="1"/>
  <c r="L228" i="12"/>
  <c r="O266" i="12"/>
  <c r="O333" i="12"/>
  <c r="O557" i="11"/>
  <c r="K801" i="11"/>
  <c r="M26" i="12"/>
  <c r="L43" i="12"/>
  <c r="L41" i="12" s="1"/>
  <c r="P46" i="12"/>
  <c r="O168" i="12"/>
  <c r="P186" i="12"/>
  <c r="I208" i="12"/>
  <c r="K208" i="12" s="1"/>
  <c r="L238" i="12"/>
  <c r="O238" i="12" s="1"/>
  <c r="I260" i="12"/>
  <c r="K260" i="12" s="1"/>
  <c r="N279" i="12"/>
  <c r="N277" i="12" s="1"/>
  <c r="L317" i="12"/>
  <c r="O317" i="12" s="1"/>
  <c r="K355" i="12"/>
  <c r="K379" i="12"/>
  <c r="P58" i="12"/>
  <c r="M56" i="12"/>
  <c r="P738" i="12"/>
  <c r="M737" i="12"/>
  <c r="P737" i="12" s="1"/>
  <c r="P788" i="12"/>
  <c r="M786" i="12"/>
  <c r="P786" i="12" s="1"/>
  <c r="M151" i="10"/>
  <c r="M149" i="10" s="1"/>
  <c r="N68" i="11"/>
  <c r="N66" i="11" s="1"/>
  <c r="L231" i="11"/>
  <c r="M263" i="11"/>
  <c r="M261" i="11" s="1"/>
  <c r="N347" i="11"/>
  <c r="N345" i="11" s="1"/>
  <c r="K370" i="11"/>
  <c r="K379" i="11"/>
  <c r="L788" i="11"/>
  <c r="L786" i="11" s="1"/>
  <c r="O786" i="11" s="1"/>
  <c r="O25" i="12"/>
  <c r="M43" i="12"/>
  <c r="M41" i="12" s="1"/>
  <c r="P67" i="12"/>
  <c r="K86" i="12"/>
  <c r="N138" i="12"/>
  <c r="O138" i="12" s="1"/>
  <c r="P140" i="12"/>
  <c r="P320" i="12"/>
  <c r="M318" i="12"/>
  <c r="P318" i="12" s="1"/>
  <c r="M317" i="12"/>
  <c r="P317" i="12" s="1"/>
  <c r="M392" i="12"/>
  <c r="P392" i="12" s="1"/>
  <c r="P394" i="12"/>
  <c r="M391" i="12"/>
  <c r="O420" i="12"/>
  <c r="O350" i="12"/>
  <c r="L347" i="12"/>
  <c r="P407" i="12"/>
  <c r="M405" i="12"/>
  <c r="P405" i="12" s="1"/>
  <c r="M404" i="12"/>
  <c r="O686" i="12"/>
  <c r="P807" i="12"/>
  <c r="M805" i="12"/>
  <c r="P805" i="12" s="1"/>
  <c r="N167" i="10"/>
  <c r="N165" i="10" s="1"/>
  <c r="L151" i="11"/>
  <c r="L149" i="11" s="1"/>
  <c r="J327" i="11"/>
  <c r="K327" i="11" s="1"/>
  <c r="P348" i="11"/>
  <c r="K822" i="11"/>
  <c r="K825" i="11"/>
  <c r="K828" i="11"/>
  <c r="L12" i="12"/>
  <c r="L15" i="12"/>
  <c r="M23" i="12"/>
  <c r="M28" i="12"/>
  <c r="P28" i="12" s="1"/>
  <c r="M31" i="12"/>
  <c r="P31" i="12" s="1"/>
  <c r="N43" i="12"/>
  <c r="N41" i="12" s="1"/>
  <c r="M55" i="12"/>
  <c r="J143" i="12"/>
  <c r="J131" i="12" s="1"/>
  <c r="K144" i="12"/>
  <c r="L555" i="3"/>
  <c r="O555" i="3" s="1"/>
  <c r="N134" i="10"/>
  <c r="N132" i="10" s="1"/>
  <c r="K369" i="10"/>
  <c r="O353" i="11"/>
  <c r="L19" i="12"/>
  <c r="N23" i="12"/>
  <c r="O32" i="12"/>
  <c r="P33" i="12"/>
  <c r="L470" i="12"/>
  <c r="O470" i="12" s="1"/>
  <c r="O472" i="12"/>
  <c r="L469" i="12"/>
  <c r="P133" i="12"/>
  <c r="N135" i="12"/>
  <c r="P135" i="12" s="1"/>
  <c r="P137" i="12"/>
  <c r="P771" i="12"/>
  <c r="M770" i="12"/>
  <c r="P770" i="12" s="1"/>
  <c r="M43" i="10"/>
  <c r="M41" i="10" s="1"/>
  <c r="P348" i="10"/>
  <c r="O186" i="11"/>
  <c r="K224" i="11"/>
  <c r="N15" i="12"/>
  <c r="P22" i="12"/>
  <c r="M19" i="12"/>
  <c r="M12" i="12"/>
  <c r="O46" i="12"/>
  <c r="P61" i="12"/>
  <c r="M59" i="12"/>
  <c r="P59" i="12" s="1"/>
  <c r="L280" i="12"/>
  <c r="O282" i="12"/>
  <c r="P353" i="12"/>
  <c r="M347" i="12"/>
  <c r="K338" i="10"/>
  <c r="M91" i="11"/>
  <c r="M94" i="11"/>
  <c r="P94" i="11" s="1"/>
  <c r="L121" i="11"/>
  <c r="O121" i="11" s="1"/>
  <c r="J364" i="11"/>
  <c r="L391" i="11"/>
  <c r="L389" i="11" s="1"/>
  <c r="O389" i="11" s="1"/>
  <c r="L395" i="11"/>
  <c r="O395" i="11" s="1"/>
  <c r="K728" i="11"/>
  <c r="L29" i="12"/>
  <c r="M34" i="12"/>
  <c r="P34" i="12" s="1"/>
  <c r="P42" i="12"/>
  <c r="P44" i="12"/>
  <c r="O89" i="12"/>
  <c r="N134" i="12"/>
  <c r="I148" i="12"/>
  <c r="K148" i="12" s="1"/>
  <c r="K225" i="12"/>
  <c r="P299" i="12"/>
  <c r="N321" i="12"/>
  <c r="N317" i="12"/>
  <c r="N315" i="12" s="1"/>
  <c r="M351" i="12"/>
  <c r="P351" i="12" s="1"/>
  <c r="P93" i="12"/>
  <c r="P96" i="12"/>
  <c r="M122" i="12"/>
  <c r="P122" i="12" s="1"/>
  <c r="M125" i="12"/>
  <c r="P125" i="12" s="1"/>
  <c r="O137" i="12"/>
  <c r="O140" i="12"/>
  <c r="M152" i="12"/>
  <c r="M155" i="12"/>
  <c r="P155" i="12" s="1"/>
  <c r="O166" i="12"/>
  <c r="O182" i="12"/>
  <c r="M264" i="12"/>
  <c r="P264" i="12" s="1"/>
  <c r="M267" i="12"/>
  <c r="P267" i="12" s="1"/>
  <c r="N280" i="12"/>
  <c r="P280" i="12" s="1"/>
  <c r="P303" i="12"/>
  <c r="I314" i="12"/>
  <c r="K314" i="12" s="1"/>
  <c r="P333" i="12"/>
  <c r="J365" i="12"/>
  <c r="P397" i="12"/>
  <c r="O445" i="12"/>
  <c r="K466" i="12"/>
  <c r="K569" i="12"/>
  <c r="K620" i="12"/>
  <c r="O787" i="12"/>
  <c r="I785" i="12"/>
  <c r="K785" i="12" s="1"/>
  <c r="K800" i="12"/>
  <c r="O806" i="12"/>
  <c r="L805" i="12"/>
  <c r="O805" i="12" s="1"/>
  <c r="O504" i="12"/>
  <c r="L502" i="12"/>
  <c r="O502" i="12" s="1"/>
  <c r="P524" i="12"/>
  <c r="M523" i="12"/>
  <c r="P523" i="12" s="1"/>
  <c r="I522" i="12"/>
  <c r="K522" i="12" s="1"/>
  <c r="K537" i="12"/>
  <c r="O549" i="12"/>
  <c r="N546" i="12"/>
  <c r="N544" i="12" s="1"/>
  <c r="N547" i="12"/>
  <c r="O547" i="12" s="1"/>
  <c r="K628" i="12"/>
  <c r="I143" i="12"/>
  <c r="L229" i="12"/>
  <c r="I233" i="12"/>
  <c r="K233" i="12" s="1"/>
  <c r="I248" i="12"/>
  <c r="K248" i="12" s="1"/>
  <c r="K338" i="12"/>
  <c r="P410" i="12"/>
  <c r="M408" i="12"/>
  <c r="P408" i="12" s="1"/>
  <c r="J537" i="12"/>
  <c r="J522" i="12" s="1"/>
  <c r="K559" i="12"/>
  <c r="I543" i="12"/>
  <c r="K543" i="12" s="1"/>
  <c r="P755" i="12"/>
  <c r="M754" i="12"/>
  <c r="P754" i="12" s="1"/>
  <c r="P419" i="12"/>
  <c r="N504" i="12"/>
  <c r="N502" i="12" s="1"/>
  <c r="N414" i="12" s="1"/>
  <c r="N505" i="12"/>
  <c r="L632" i="12"/>
  <c r="O632" i="12" s="1"/>
  <c r="O634" i="12"/>
  <c r="P687" i="12"/>
  <c r="M685" i="12"/>
  <c r="P685" i="12" s="1"/>
  <c r="I197" i="12"/>
  <c r="K197" i="12" s="1"/>
  <c r="I276" i="12"/>
  <c r="K276" i="12" s="1"/>
  <c r="M300" i="12"/>
  <c r="O346" i="12"/>
  <c r="K362" i="12"/>
  <c r="O390" i="12"/>
  <c r="P446" i="12"/>
  <c r="M444" i="12"/>
  <c r="P444" i="12" s="1"/>
  <c r="J592" i="12"/>
  <c r="K592" i="12" s="1"/>
  <c r="K593" i="12"/>
  <c r="P545" i="12"/>
  <c r="I654" i="12"/>
  <c r="K654" i="12" s="1"/>
  <c r="P656" i="12"/>
  <c r="K675" i="12"/>
  <c r="L429" i="12"/>
  <c r="O429" i="12" s="1"/>
  <c r="L454" i="12"/>
  <c r="O454" i="12" s="1"/>
  <c r="L421" i="12"/>
  <c r="O421" i="12" s="1"/>
  <c r="L446" i="12"/>
  <c r="O446" i="12" s="1"/>
  <c r="K669" i="12"/>
  <c r="L687" i="12"/>
  <c r="O687" i="12" s="1"/>
  <c r="L55" i="8"/>
  <c r="L53" i="8" s="1"/>
  <c r="O61" i="10"/>
  <c r="N151" i="11"/>
  <c r="N149" i="11" s="1"/>
  <c r="N152" i="11"/>
  <c r="K215" i="11"/>
  <c r="I208" i="11"/>
  <c r="K208" i="11" s="1"/>
  <c r="L43" i="11"/>
  <c r="L44" i="11"/>
  <c r="O140" i="11"/>
  <c r="L138" i="11"/>
  <c r="O138" i="11" s="1"/>
  <c r="L280" i="11"/>
  <c r="O280" i="11" s="1"/>
  <c r="O282" i="11"/>
  <c r="O660" i="11"/>
  <c r="L657" i="11"/>
  <c r="O657" i="11" s="1"/>
  <c r="M55" i="10"/>
  <c r="M53" i="10" s="1"/>
  <c r="K224" i="10"/>
  <c r="I216" i="10"/>
  <c r="K216" i="10" s="1"/>
  <c r="L263" i="10"/>
  <c r="L261" i="10" s="1"/>
  <c r="O528" i="10"/>
  <c r="L525" i="10"/>
  <c r="L523" i="10" s="1"/>
  <c r="O523" i="10" s="1"/>
  <c r="M23" i="11"/>
  <c r="M21" i="11" s="1"/>
  <c r="M43" i="11"/>
  <c r="M41" i="11" s="1"/>
  <c r="M134" i="11"/>
  <c r="O189" i="11"/>
  <c r="L187" i="11"/>
  <c r="O187" i="11" s="1"/>
  <c r="P303" i="11"/>
  <c r="M301" i="11"/>
  <c r="P301" i="11" s="1"/>
  <c r="K628" i="11"/>
  <c r="M331" i="10"/>
  <c r="M330" i="10"/>
  <c r="M328" i="10" s="1"/>
  <c r="L168" i="11"/>
  <c r="L167" i="11"/>
  <c r="L165" i="11" s="1"/>
  <c r="P320" i="11"/>
  <c r="M318" i="11"/>
  <c r="P318" i="11" s="1"/>
  <c r="M317" i="11"/>
  <c r="P317" i="11" s="1"/>
  <c r="O336" i="11"/>
  <c r="L330" i="11"/>
  <c r="L328" i="11" s="1"/>
  <c r="P170" i="8"/>
  <c r="I260" i="9"/>
  <c r="K260" i="9" s="1"/>
  <c r="I143" i="10"/>
  <c r="I131" i="10" s="1"/>
  <c r="K131" i="10" s="1"/>
  <c r="K145" i="10"/>
  <c r="K360" i="10"/>
  <c r="J364" i="10"/>
  <c r="K381" i="10"/>
  <c r="N408" i="10"/>
  <c r="N404" i="10"/>
  <c r="N402" i="10" s="1"/>
  <c r="L36" i="11"/>
  <c r="O36" i="11" s="1"/>
  <c r="K98" i="11"/>
  <c r="I86" i="11"/>
  <c r="K86" i="11" s="1"/>
  <c r="N121" i="11"/>
  <c r="N119" i="11" s="1"/>
  <c r="P157" i="11"/>
  <c r="M155" i="11"/>
  <c r="P155" i="11" s="1"/>
  <c r="M300" i="11"/>
  <c r="M298" i="11" s="1"/>
  <c r="P336" i="11"/>
  <c r="M334" i="11"/>
  <c r="P334" i="11" s="1"/>
  <c r="M279" i="10"/>
  <c r="M277" i="10" s="1"/>
  <c r="N330" i="10"/>
  <c r="J722" i="10"/>
  <c r="K148" i="11"/>
  <c r="M183" i="11"/>
  <c r="M181" i="11" s="1"/>
  <c r="M347" i="11"/>
  <c r="M345" i="11" s="1"/>
  <c r="O350" i="11"/>
  <c r="K803" i="11"/>
  <c r="I785" i="10"/>
  <c r="L68" i="11"/>
  <c r="L66" i="11" s="1"/>
  <c r="L209" i="11"/>
  <c r="O209" i="11" s="1"/>
  <c r="O266" i="11"/>
  <c r="K271" i="11"/>
  <c r="N279" i="11"/>
  <c r="K309" i="11"/>
  <c r="K338" i="11"/>
  <c r="O351" i="11"/>
  <c r="L421" i="11"/>
  <c r="L419" i="11" s="1"/>
  <c r="K699" i="11"/>
  <c r="K823" i="11"/>
  <c r="K826" i="11"/>
  <c r="I364" i="11"/>
  <c r="N90" i="10"/>
  <c r="M183" i="10"/>
  <c r="M181" i="10" s="1"/>
  <c r="L469" i="10"/>
  <c r="O469" i="10" s="1"/>
  <c r="J721" i="10"/>
  <c r="K822" i="10"/>
  <c r="K828" i="10"/>
  <c r="L134" i="11"/>
  <c r="L217" i="11"/>
  <c r="O217" i="11" s="1"/>
  <c r="O303" i="11"/>
  <c r="K381" i="11"/>
  <c r="O424" i="11"/>
  <c r="O479" i="11"/>
  <c r="K821" i="11"/>
  <c r="K824" i="11"/>
  <c r="K827" i="11"/>
  <c r="I592" i="11"/>
  <c r="K592" i="11" s="1"/>
  <c r="K593" i="11"/>
  <c r="J722" i="7"/>
  <c r="M184" i="10"/>
  <c r="L392" i="10"/>
  <c r="O392" i="10" s="1"/>
  <c r="J433" i="10"/>
  <c r="J417" i="10" s="1"/>
  <c r="L546" i="10"/>
  <c r="O546" i="10" s="1"/>
  <c r="L788" i="10"/>
  <c r="L786" i="10" s="1"/>
  <c r="O786" i="10" s="1"/>
  <c r="L23" i="11"/>
  <c r="L21" i="11" s="1"/>
  <c r="N44" i="11"/>
  <c r="O46" i="11"/>
  <c r="M122" i="11"/>
  <c r="P122" i="11" s="1"/>
  <c r="M151" i="11"/>
  <c r="M187" i="11"/>
  <c r="P187" i="11" s="1"/>
  <c r="N263" i="11"/>
  <c r="N261" i="11" s="1"/>
  <c r="I276" i="11"/>
  <c r="K276" i="11" s="1"/>
  <c r="L279" i="11"/>
  <c r="L283" i="11"/>
  <c r="O283" i="11" s="1"/>
  <c r="M304" i="11"/>
  <c r="P304" i="11" s="1"/>
  <c r="K325" i="11"/>
  <c r="L348" i="11"/>
  <c r="O348" i="11" s="1"/>
  <c r="K362" i="11"/>
  <c r="N391" i="11"/>
  <c r="N389" i="11" s="1"/>
  <c r="I248" i="10"/>
  <c r="K248" i="10" s="1"/>
  <c r="I364" i="10"/>
  <c r="L395" i="10"/>
  <c r="O395" i="10" s="1"/>
  <c r="I443" i="10"/>
  <c r="K443" i="10" s="1"/>
  <c r="J785" i="10"/>
  <c r="K823" i="10"/>
  <c r="L26" i="11"/>
  <c r="L47" i="11"/>
  <c r="O47" i="11" s="1"/>
  <c r="O61" i="11"/>
  <c r="L69" i="11"/>
  <c r="O69" i="11" s="1"/>
  <c r="P124" i="11"/>
  <c r="L135" i="11"/>
  <c r="O135" i="11" s="1"/>
  <c r="J143" i="11"/>
  <c r="J131" i="11" s="1"/>
  <c r="O154" i="11"/>
  <c r="L183" i="11"/>
  <c r="L181" i="11" s="1"/>
  <c r="P189" i="11"/>
  <c r="L198" i="11"/>
  <c r="O198" i="11" s="1"/>
  <c r="K297" i="11"/>
  <c r="L300" i="11"/>
  <c r="L298" i="11" s="1"/>
  <c r="P333" i="11"/>
  <c r="L404" i="11"/>
  <c r="O404" i="11" s="1"/>
  <c r="N404" i="11"/>
  <c r="N402" i="11" s="1"/>
  <c r="N405" i="11"/>
  <c r="L454" i="11"/>
  <c r="O454" i="11" s="1"/>
  <c r="O456" i="11"/>
  <c r="O71" i="11"/>
  <c r="O137" i="11"/>
  <c r="L238" i="11"/>
  <c r="O238" i="11" s="1"/>
  <c r="L347" i="11"/>
  <c r="L392" i="11"/>
  <c r="O392" i="11" s="1"/>
  <c r="L405" i="11"/>
  <c r="O405" i="11" s="1"/>
  <c r="O528" i="11"/>
  <c r="L525" i="11"/>
  <c r="O525" i="11" s="1"/>
  <c r="I522" i="11"/>
  <c r="K522" i="11" s="1"/>
  <c r="K537" i="11"/>
  <c r="O449" i="11"/>
  <c r="L446" i="11"/>
  <c r="L444" i="11" s="1"/>
  <c r="L167" i="10"/>
  <c r="L231" i="10"/>
  <c r="P266" i="10"/>
  <c r="N279" i="10"/>
  <c r="N277" i="10" s="1"/>
  <c r="I297" i="10"/>
  <c r="K297" i="10" s="1"/>
  <c r="M404" i="10"/>
  <c r="P404" i="10" s="1"/>
  <c r="L555" i="10"/>
  <c r="O555" i="10" s="1"/>
  <c r="L33" i="11"/>
  <c r="M55" i="11"/>
  <c r="M53" i="11" s="1"/>
  <c r="L90" i="11"/>
  <c r="L88" i="11" s="1"/>
  <c r="N125" i="11"/>
  <c r="K146" i="11"/>
  <c r="M152" i="11"/>
  <c r="M167" i="11"/>
  <c r="M165" i="11" s="1"/>
  <c r="L229" i="11"/>
  <c r="P282" i="11"/>
  <c r="N300" i="11"/>
  <c r="N298" i="11" s="1"/>
  <c r="M321" i="11"/>
  <c r="P321" i="11" s="1"/>
  <c r="M330" i="11"/>
  <c r="M328" i="11" s="1"/>
  <c r="O333" i="11"/>
  <c r="L631" i="11"/>
  <c r="O631" i="11" s="1"/>
  <c r="K700" i="11"/>
  <c r="K439" i="11"/>
  <c r="J433" i="11"/>
  <c r="J417" i="11" s="1"/>
  <c r="K360" i="9"/>
  <c r="N151" i="10"/>
  <c r="N149" i="10" s="1"/>
  <c r="M167" i="10"/>
  <c r="L404" i="10"/>
  <c r="O404" i="10" s="1"/>
  <c r="M59" i="11"/>
  <c r="P59" i="11" s="1"/>
  <c r="N90" i="11"/>
  <c r="M171" i="11"/>
  <c r="P171" i="11" s="1"/>
  <c r="L184" i="11"/>
  <c r="K260" i="11"/>
  <c r="L263" i="11"/>
  <c r="L261" i="11" s="1"/>
  <c r="L317" i="11"/>
  <c r="K340" i="11"/>
  <c r="K378" i="11"/>
  <c r="I417" i="11"/>
  <c r="I434" i="11"/>
  <c r="I418" i="11" s="1"/>
  <c r="K418" i="11" s="1"/>
  <c r="K438" i="11"/>
  <c r="L470" i="11"/>
  <c r="O470" i="11" s="1"/>
  <c r="L469" i="11"/>
  <c r="K374" i="11"/>
  <c r="L408" i="11"/>
  <c r="O408" i="11" s="1"/>
  <c r="L658" i="11"/>
  <c r="O658" i="11" s="1"/>
  <c r="K372" i="11"/>
  <c r="M391" i="11"/>
  <c r="K594" i="11"/>
  <c r="J537" i="11"/>
  <c r="J522" i="11" s="1"/>
  <c r="I785" i="11"/>
  <c r="M404" i="11"/>
  <c r="M402" i="11" s="1"/>
  <c r="P402" i="11" s="1"/>
  <c r="K649" i="11"/>
  <c r="K726" i="11"/>
  <c r="P19" i="11"/>
  <c r="K675" i="11"/>
  <c r="I654" i="11"/>
  <c r="K654" i="11" s="1"/>
  <c r="K674" i="11"/>
  <c r="K673" i="11"/>
  <c r="K669" i="11"/>
  <c r="K672" i="11"/>
  <c r="L183" i="8"/>
  <c r="L181" i="8" s="1"/>
  <c r="K465" i="8"/>
  <c r="M304" i="9"/>
  <c r="P304" i="9" s="1"/>
  <c r="L209" i="10"/>
  <c r="O209" i="10" s="1"/>
  <c r="L228" i="10"/>
  <c r="O350" i="10"/>
  <c r="M395" i="10"/>
  <c r="P395" i="10" s="1"/>
  <c r="K577" i="10"/>
  <c r="L657" i="10"/>
  <c r="O657" i="10" s="1"/>
  <c r="N29" i="11"/>
  <c r="N28" i="11" s="1"/>
  <c r="M34" i="11"/>
  <c r="P34" i="11" s="1"/>
  <c r="M44" i="11"/>
  <c r="P46" i="11"/>
  <c r="P58" i="11"/>
  <c r="M69" i="11"/>
  <c r="P69" i="11" s="1"/>
  <c r="P71" i="11"/>
  <c r="I76" i="11"/>
  <c r="K82" i="11"/>
  <c r="I87" i="11"/>
  <c r="K87" i="11" s="1"/>
  <c r="K99" i="11"/>
  <c r="M138" i="11"/>
  <c r="P138" i="11" s="1"/>
  <c r="P140" i="11"/>
  <c r="P182" i="11"/>
  <c r="N317" i="11"/>
  <c r="N315" i="11" s="1"/>
  <c r="O67" i="11"/>
  <c r="I233" i="11"/>
  <c r="K233" i="11" s="1"/>
  <c r="K244" i="11"/>
  <c r="I237" i="11"/>
  <c r="L230" i="8"/>
  <c r="M171" i="10"/>
  <c r="P171" i="10" s="1"/>
  <c r="O333" i="10"/>
  <c r="J327" i="10"/>
  <c r="K327" i="10" s="1"/>
  <c r="L533" i="10"/>
  <c r="O533" i="10" s="1"/>
  <c r="K647" i="10"/>
  <c r="P89" i="11"/>
  <c r="N91" i="11"/>
  <c r="P93" i="11"/>
  <c r="N184" i="11"/>
  <c r="P186" i="11"/>
  <c r="L249" i="11"/>
  <c r="P316" i="11"/>
  <c r="O157" i="9"/>
  <c r="K699" i="9"/>
  <c r="N55" i="10"/>
  <c r="N53" i="10" s="1"/>
  <c r="P61" i="10"/>
  <c r="L331" i="10"/>
  <c r="M347" i="10"/>
  <c r="M345" i="10" s="1"/>
  <c r="K362" i="10"/>
  <c r="P25" i="11"/>
  <c r="M72" i="11"/>
  <c r="P72" i="11" s="1"/>
  <c r="P74" i="11"/>
  <c r="I174" i="11"/>
  <c r="K176" i="11"/>
  <c r="P56" i="11"/>
  <c r="P154" i="10"/>
  <c r="N12" i="11"/>
  <c r="M15" i="11"/>
  <c r="O22" i="11"/>
  <c r="L19" i="11"/>
  <c r="L12" i="11"/>
  <c r="N23" i="11"/>
  <c r="P23" i="11" s="1"/>
  <c r="M30" i="11"/>
  <c r="P30" i="11" s="1"/>
  <c r="O35" i="11"/>
  <c r="M47" i="11"/>
  <c r="P47" i="11" s="1"/>
  <c r="P49" i="11"/>
  <c r="M26" i="11"/>
  <c r="M24" i="11" s="1"/>
  <c r="N55" i="11"/>
  <c r="O58" i="11"/>
  <c r="K79" i="11"/>
  <c r="I77" i="11"/>
  <c r="O133" i="11"/>
  <c r="N167" i="11"/>
  <c r="K378" i="8"/>
  <c r="K381" i="8"/>
  <c r="N134" i="9"/>
  <c r="N132" i="9" s="1"/>
  <c r="L36" i="10"/>
  <c r="O36" i="10" s="1"/>
  <c r="L121" i="10"/>
  <c r="M187" i="10"/>
  <c r="P187" i="10" s="1"/>
  <c r="N331" i="10"/>
  <c r="O632" i="10"/>
  <c r="N15" i="11"/>
  <c r="N19" i="11"/>
  <c r="N26" i="11"/>
  <c r="P32" i="11"/>
  <c r="M29" i="11"/>
  <c r="O42" i="11"/>
  <c r="P54" i="11"/>
  <c r="M68" i="11"/>
  <c r="I112" i="11"/>
  <c r="K112" i="11" s="1"/>
  <c r="K115" i="11"/>
  <c r="M135" i="11"/>
  <c r="P135" i="11" s="1"/>
  <c r="P137" i="11"/>
  <c r="P166" i="11"/>
  <c r="N168" i="11"/>
  <c r="P170" i="11"/>
  <c r="K216" i="11"/>
  <c r="P468" i="11"/>
  <c r="M467" i="11"/>
  <c r="P467" i="11" s="1"/>
  <c r="L56" i="11"/>
  <c r="O56" i="11" s="1"/>
  <c r="L59" i="11"/>
  <c r="O59" i="11" s="1"/>
  <c r="O93" i="11"/>
  <c r="O96" i="11"/>
  <c r="P120" i="11"/>
  <c r="L122" i="11"/>
  <c r="O122" i="11" s="1"/>
  <c r="L125" i="11"/>
  <c r="O125" i="11" s="1"/>
  <c r="P150" i="11"/>
  <c r="L152" i="11"/>
  <c r="L155" i="11"/>
  <c r="O155" i="11" s="1"/>
  <c r="O170" i="11"/>
  <c r="O173" i="11"/>
  <c r="P262" i="11"/>
  <c r="L264" i="11"/>
  <c r="O264" i="11" s="1"/>
  <c r="L267" i="11"/>
  <c r="O267" i="11" s="1"/>
  <c r="M280" i="11"/>
  <c r="P280" i="11" s="1"/>
  <c r="M283" i="11"/>
  <c r="P283" i="11" s="1"/>
  <c r="P299" i="11"/>
  <c r="L301" i="11"/>
  <c r="O301" i="11" s="1"/>
  <c r="L304" i="11"/>
  <c r="O304" i="11" s="1"/>
  <c r="O320" i="11"/>
  <c r="O323" i="11"/>
  <c r="K385" i="11"/>
  <c r="P419" i="11"/>
  <c r="I442" i="11"/>
  <c r="K442" i="11" s="1"/>
  <c r="K460" i="11"/>
  <c r="P503" i="11"/>
  <c r="M502" i="11"/>
  <c r="P502" i="11" s="1"/>
  <c r="P657" i="11"/>
  <c r="M655" i="11"/>
  <c r="P655" i="11" s="1"/>
  <c r="O656" i="11"/>
  <c r="P807" i="11"/>
  <c r="M805" i="11"/>
  <c r="P805" i="11" s="1"/>
  <c r="I275" i="11"/>
  <c r="J288" i="11"/>
  <c r="J275" i="11" s="1"/>
  <c r="K651" i="11"/>
  <c r="O806" i="11"/>
  <c r="L805" i="11"/>
  <c r="O805" i="11" s="1"/>
  <c r="I143" i="11"/>
  <c r="K145" i="11"/>
  <c r="O403" i="11"/>
  <c r="M405" i="11"/>
  <c r="P405" i="11" s="1"/>
  <c r="P407" i="11"/>
  <c r="N444" i="11"/>
  <c r="L547" i="11"/>
  <c r="O547" i="11" s="1"/>
  <c r="O549" i="11"/>
  <c r="N629" i="11"/>
  <c r="N658" i="11"/>
  <c r="M408" i="11"/>
  <c r="P408" i="11" s="1"/>
  <c r="P410" i="11"/>
  <c r="O690" i="11"/>
  <c r="L687" i="11"/>
  <c r="L688" i="11"/>
  <c r="O688" i="11" s="1"/>
  <c r="P350" i="11"/>
  <c r="P353" i="11"/>
  <c r="K365" i="11"/>
  <c r="P394" i="11"/>
  <c r="P397" i="11"/>
  <c r="O420" i="11"/>
  <c r="O445" i="11"/>
  <c r="L526" i="11"/>
  <c r="O526" i="11" s="1"/>
  <c r="O630" i="11"/>
  <c r="L639" i="11"/>
  <c r="O639" i="11" s="1"/>
  <c r="P686" i="11"/>
  <c r="P787" i="11"/>
  <c r="L447" i="11"/>
  <c r="O447" i="11" s="1"/>
  <c r="L632" i="11"/>
  <c r="O632" i="11" s="1"/>
  <c r="J355" i="11"/>
  <c r="K355" i="11" s="1"/>
  <c r="M544" i="11"/>
  <c r="P544" i="11" s="1"/>
  <c r="K539" i="11"/>
  <c r="N421" i="11"/>
  <c r="M125" i="6"/>
  <c r="P125" i="6" s="1"/>
  <c r="L90" i="8"/>
  <c r="L88" i="8" s="1"/>
  <c r="L69" i="9"/>
  <c r="O69" i="9" s="1"/>
  <c r="M121" i="10"/>
  <c r="P121" i="10" s="1"/>
  <c r="M317" i="10"/>
  <c r="P317" i="10" s="1"/>
  <c r="P333" i="10"/>
  <c r="K378" i="10"/>
  <c r="L470" i="10"/>
  <c r="O470" i="10" s="1"/>
  <c r="P351" i="10"/>
  <c r="I76" i="9"/>
  <c r="I64" i="9" s="1"/>
  <c r="K64" i="9" s="1"/>
  <c r="K628" i="9"/>
  <c r="L33" i="10"/>
  <c r="L31" i="10" s="1"/>
  <c r="O31" i="10" s="1"/>
  <c r="L90" i="10"/>
  <c r="L88" i="10" s="1"/>
  <c r="N121" i="10"/>
  <c r="N119" i="10" s="1"/>
  <c r="I148" i="10"/>
  <c r="K148" i="10" s="1"/>
  <c r="K204" i="10"/>
  <c r="M264" i="10"/>
  <c r="P264" i="10" s="1"/>
  <c r="M318" i="10"/>
  <c r="P318" i="10" s="1"/>
  <c r="O472" i="10"/>
  <c r="J537" i="10"/>
  <c r="J522" i="10" s="1"/>
  <c r="I314" i="8"/>
  <c r="K314" i="8" s="1"/>
  <c r="L229" i="9"/>
  <c r="M90" i="10"/>
  <c r="M88" i="10" s="1"/>
  <c r="L198" i="10"/>
  <c r="O198" i="10" s="1"/>
  <c r="L280" i="10"/>
  <c r="L334" i="10"/>
  <c r="O334" i="10" s="1"/>
  <c r="L348" i="10"/>
  <c r="O348" i="10" s="1"/>
  <c r="K561" i="10"/>
  <c r="K651" i="10"/>
  <c r="O336" i="9"/>
  <c r="L304" i="10"/>
  <c r="O304" i="10" s="1"/>
  <c r="N347" i="10"/>
  <c r="K359" i="10"/>
  <c r="M152" i="10"/>
  <c r="P152" i="10" s="1"/>
  <c r="P157" i="10"/>
  <c r="I208" i="10"/>
  <c r="K208" i="10" s="1"/>
  <c r="K372" i="10"/>
  <c r="O791" i="10"/>
  <c r="N263" i="7"/>
  <c r="N261" i="7" s="1"/>
  <c r="K260" i="10"/>
  <c r="P46" i="9"/>
  <c r="M69" i="9"/>
  <c r="P69" i="9" s="1"/>
  <c r="K78" i="9"/>
  <c r="P186" i="9"/>
  <c r="M301" i="9"/>
  <c r="P301" i="9" s="1"/>
  <c r="L26" i="10"/>
  <c r="L24" i="10" s="1"/>
  <c r="N44" i="10"/>
  <c r="O44" i="10" s="1"/>
  <c r="O46" i="10"/>
  <c r="N69" i="10"/>
  <c r="O69" i="10" s="1"/>
  <c r="O71" i="10"/>
  <c r="I86" i="10"/>
  <c r="K86" i="10" s="1"/>
  <c r="K146" i="10"/>
  <c r="L183" i="10"/>
  <c r="L181" i="10" s="1"/>
  <c r="M263" i="10"/>
  <c r="O266" i="10"/>
  <c r="K271" i="10"/>
  <c r="N280" i="10"/>
  <c r="L300" i="10"/>
  <c r="O300" i="10" s="1"/>
  <c r="N317" i="10"/>
  <c r="N315" i="10" s="1"/>
  <c r="J355" i="10"/>
  <c r="K355" i="10" s="1"/>
  <c r="K374" i="10"/>
  <c r="O431" i="10"/>
  <c r="K435" i="10"/>
  <c r="K569" i="10"/>
  <c r="K628" i="10"/>
  <c r="P333" i="8"/>
  <c r="M43" i="9"/>
  <c r="M41" i="9" s="1"/>
  <c r="M267" i="9"/>
  <c r="P267" i="9" s="1"/>
  <c r="P410" i="9"/>
  <c r="L23" i="10"/>
  <c r="L43" i="10"/>
  <c r="L47" i="10"/>
  <c r="O47" i="10" s="1"/>
  <c r="M56" i="10"/>
  <c r="P56" i="10" s="1"/>
  <c r="P58" i="10"/>
  <c r="L72" i="10"/>
  <c r="O72" i="10" s="1"/>
  <c r="P124" i="10"/>
  <c r="P127" i="10"/>
  <c r="L135" i="10"/>
  <c r="O135" i="10" s="1"/>
  <c r="N263" i="10"/>
  <c r="N261" i="10" s="1"/>
  <c r="L279" i="10"/>
  <c r="L283" i="10"/>
  <c r="O283" i="10" s="1"/>
  <c r="N300" i="10"/>
  <c r="N298" i="10" s="1"/>
  <c r="I314" i="10"/>
  <c r="K314" i="10" s="1"/>
  <c r="L318" i="10"/>
  <c r="O318" i="10" s="1"/>
  <c r="L330" i="10"/>
  <c r="O351" i="10"/>
  <c r="K379" i="10"/>
  <c r="L391" i="10"/>
  <c r="K649" i="10"/>
  <c r="K801" i="10"/>
  <c r="K821" i="10"/>
  <c r="K824" i="10"/>
  <c r="K827" i="10"/>
  <c r="L72" i="9"/>
  <c r="O72" i="9" s="1"/>
  <c r="I559" i="9"/>
  <c r="I543" i="9" s="1"/>
  <c r="K543" i="9" s="1"/>
  <c r="L68" i="10"/>
  <c r="O137" i="10"/>
  <c r="L238" i="10"/>
  <c r="L249" i="10"/>
  <c r="O249" i="10" s="1"/>
  <c r="M391" i="10"/>
  <c r="I433" i="10"/>
  <c r="M334" i="9"/>
  <c r="P334" i="9" s="1"/>
  <c r="M347" i="9"/>
  <c r="M345" i="9" s="1"/>
  <c r="K362" i="9"/>
  <c r="K701" i="9"/>
  <c r="J721" i="9"/>
  <c r="K721" i="9" s="1"/>
  <c r="M94" i="10"/>
  <c r="P94" i="10" s="1"/>
  <c r="L138" i="10"/>
  <c r="O138" i="10" s="1"/>
  <c r="J143" i="10"/>
  <c r="J131" i="10" s="1"/>
  <c r="L217" i="10"/>
  <c r="O217" i="10" s="1"/>
  <c r="L229" i="10"/>
  <c r="M321" i="10"/>
  <c r="P321" i="10" s="1"/>
  <c r="P353" i="10"/>
  <c r="L421" i="10"/>
  <c r="L546" i="7"/>
  <c r="O546" i="7" s="1"/>
  <c r="K647" i="7"/>
  <c r="L68" i="9"/>
  <c r="L66" i="9" s="1"/>
  <c r="O66" i="9" s="1"/>
  <c r="P323" i="9"/>
  <c r="K372" i="9"/>
  <c r="L395" i="9"/>
  <c r="O395" i="9" s="1"/>
  <c r="O58" i="10"/>
  <c r="L151" i="10"/>
  <c r="I190" i="10"/>
  <c r="K190" i="10" s="1"/>
  <c r="M267" i="10"/>
  <c r="P267" i="10" s="1"/>
  <c r="P282" i="10"/>
  <c r="L317" i="10"/>
  <c r="P350" i="10"/>
  <c r="O353" i="10"/>
  <c r="K370" i="10"/>
  <c r="L446" i="10"/>
  <c r="I559" i="10"/>
  <c r="I543" i="10" s="1"/>
  <c r="K543" i="10" s="1"/>
  <c r="O634" i="10"/>
  <c r="L658" i="10"/>
  <c r="O15" i="10"/>
  <c r="O67" i="10"/>
  <c r="O133" i="10"/>
  <c r="P182" i="10"/>
  <c r="N184" i="10"/>
  <c r="O184" i="10" s="1"/>
  <c r="P186" i="10"/>
  <c r="I233" i="10"/>
  <c r="K233" i="10" s="1"/>
  <c r="K244" i="10"/>
  <c r="I237" i="10"/>
  <c r="O403" i="10"/>
  <c r="M279" i="8"/>
  <c r="M277" i="8" s="1"/>
  <c r="P264" i="9"/>
  <c r="J288" i="9"/>
  <c r="J275" i="9" s="1"/>
  <c r="K275" i="9" s="1"/>
  <c r="M300" i="9"/>
  <c r="M298" i="9" s="1"/>
  <c r="P298" i="9" s="1"/>
  <c r="I433" i="9"/>
  <c r="I417" i="9" s="1"/>
  <c r="I522" i="9"/>
  <c r="K522" i="9" s="1"/>
  <c r="L546" i="9"/>
  <c r="L544" i="9" s="1"/>
  <c r="O544" i="9" s="1"/>
  <c r="K649" i="9"/>
  <c r="M47" i="10"/>
  <c r="P47" i="10" s="1"/>
  <c r="P49" i="10"/>
  <c r="M26" i="10"/>
  <c r="M69" i="10"/>
  <c r="P71" i="10"/>
  <c r="I76" i="10"/>
  <c r="K82" i="10"/>
  <c r="I87" i="10"/>
  <c r="K87" i="10" s="1"/>
  <c r="K99" i="10"/>
  <c r="I112" i="10"/>
  <c r="K112" i="10" s="1"/>
  <c r="K115" i="10"/>
  <c r="M135" i="10"/>
  <c r="P135" i="10" s="1"/>
  <c r="P137" i="10"/>
  <c r="I174" i="10"/>
  <c r="K176" i="10"/>
  <c r="I190" i="6"/>
  <c r="K190" i="6" s="1"/>
  <c r="K385" i="7"/>
  <c r="L229" i="8"/>
  <c r="M72" i="9"/>
  <c r="P72" i="9" s="1"/>
  <c r="M121" i="9"/>
  <c r="P121" i="9" s="1"/>
  <c r="M125" i="9"/>
  <c r="P125" i="9" s="1"/>
  <c r="O280" i="9"/>
  <c r="P89" i="10"/>
  <c r="N91" i="10"/>
  <c r="P91" i="10" s="1"/>
  <c r="N23" i="10"/>
  <c r="N21" i="10" s="1"/>
  <c r="P93" i="10"/>
  <c r="M304" i="10"/>
  <c r="P304" i="10" s="1"/>
  <c r="P306" i="10"/>
  <c r="M300" i="10"/>
  <c r="M135" i="9"/>
  <c r="P135" i="9" s="1"/>
  <c r="L249" i="9"/>
  <c r="O249" i="9" s="1"/>
  <c r="J785" i="9"/>
  <c r="P59" i="10"/>
  <c r="M72" i="10"/>
  <c r="P72" i="10" s="1"/>
  <c r="P74" i="10"/>
  <c r="N94" i="10"/>
  <c r="N26" i="10"/>
  <c r="M138" i="10"/>
  <c r="P138" i="10" s="1"/>
  <c r="P140" i="10"/>
  <c r="P166" i="10"/>
  <c r="N168" i="10"/>
  <c r="O168" i="10" s="1"/>
  <c r="P170" i="10"/>
  <c r="O299" i="10"/>
  <c r="J592" i="10"/>
  <c r="K593" i="10"/>
  <c r="N404" i="9"/>
  <c r="N402" i="9" s="1"/>
  <c r="L533" i="9"/>
  <c r="O533" i="9" s="1"/>
  <c r="O557" i="9"/>
  <c r="M9" i="10"/>
  <c r="O42" i="10"/>
  <c r="K79" i="10"/>
  <c r="I77" i="10"/>
  <c r="P282" i="9"/>
  <c r="O306" i="9"/>
  <c r="K369" i="9"/>
  <c r="K378" i="9"/>
  <c r="M392" i="9"/>
  <c r="P392" i="9" s="1"/>
  <c r="I443" i="9"/>
  <c r="K443" i="9" s="1"/>
  <c r="N19" i="10"/>
  <c r="N29" i="10"/>
  <c r="N28" i="10" s="1"/>
  <c r="M44" i="10"/>
  <c r="M23" i="10"/>
  <c r="P46" i="10"/>
  <c r="M68" i="10"/>
  <c r="M134" i="10"/>
  <c r="N183" i="10"/>
  <c r="P468" i="10"/>
  <c r="M467" i="10"/>
  <c r="P467" i="10" s="1"/>
  <c r="O502" i="10"/>
  <c r="L12" i="10"/>
  <c r="L19" i="10"/>
  <c r="O22" i="10"/>
  <c r="O29" i="10"/>
  <c r="O35" i="10"/>
  <c r="P54" i="10"/>
  <c r="L56" i="10"/>
  <c r="O56" i="10" s="1"/>
  <c r="L59" i="10"/>
  <c r="O59" i="10" s="1"/>
  <c r="O93" i="10"/>
  <c r="O96" i="10"/>
  <c r="P120" i="10"/>
  <c r="L122" i="10"/>
  <c r="O122" i="10" s="1"/>
  <c r="L125" i="10"/>
  <c r="O125" i="10" s="1"/>
  <c r="P150" i="10"/>
  <c r="L152" i="10"/>
  <c r="O152" i="10" s="1"/>
  <c r="L155" i="10"/>
  <c r="O155" i="10" s="1"/>
  <c r="O170" i="10"/>
  <c r="O173" i="10"/>
  <c r="O186" i="10"/>
  <c r="O189" i="10"/>
  <c r="P262" i="10"/>
  <c r="L264" i="10"/>
  <c r="O264" i="10" s="1"/>
  <c r="L267" i="10"/>
  <c r="O267" i="10" s="1"/>
  <c r="M280" i="10"/>
  <c r="M283" i="10"/>
  <c r="P283" i="10" s="1"/>
  <c r="K340" i="10"/>
  <c r="P419" i="10"/>
  <c r="I442" i="10"/>
  <c r="K442" i="10" s="1"/>
  <c r="K460" i="10"/>
  <c r="K621" i="10"/>
  <c r="K675" i="10"/>
  <c r="I654" i="10"/>
  <c r="K654" i="10" s="1"/>
  <c r="K674" i="10"/>
  <c r="K673" i="10"/>
  <c r="K669" i="10"/>
  <c r="K672" i="10"/>
  <c r="P503" i="10"/>
  <c r="M502" i="10"/>
  <c r="P502" i="10" s="1"/>
  <c r="L547" i="10"/>
  <c r="O547" i="10" s="1"/>
  <c r="O549" i="10"/>
  <c r="P657" i="10"/>
  <c r="M655" i="10"/>
  <c r="P655" i="10" s="1"/>
  <c r="O690" i="10"/>
  <c r="L687" i="10"/>
  <c r="O687" i="10" s="1"/>
  <c r="L688" i="10"/>
  <c r="O688" i="10" s="1"/>
  <c r="P807" i="10"/>
  <c r="M805" i="10"/>
  <c r="P805" i="10" s="1"/>
  <c r="M31" i="10"/>
  <c r="P31" i="10" s="1"/>
  <c r="I275" i="10"/>
  <c r="J288" i="10"/>
  <c r="J275" i="10" s="1"/>
  <c r="K385" i="10"/>
  <c r="K592" i="10"/>
  <c r="O656" i="10"/>
  <c r="O806" i="10"/>
  <c r="L805" i="10"/>
  <c r="O805" i="10" s="1"/>
  <c r="M405" i="10"/>
  <c r="P405" i="10" s="1"/>
  <c r="P407" i="10"/>
  <c r="M408" i="10"/>
  <c r="P408" i="10" s="1"/>
  <c r="P410" i="10"/>
  <c r="N414" i="10"/>
  <c r="M29" i="10"/>
  <c r="M301" i="10"/>
  <c r="P301" i="10" s="1"/>
  <c r="P303" i="10"/>
  <c r="N658" i="10"/>
  <c r="O329" i="10"/>
  <c r="P336" i="10"/>
  <c r="K365" i="10"/>
  <c r="P394" i="10"/>
  <c r="O303" i="10"/>
  <c r="O407" i="10"/>
  <c r="O410" i="10"/>
  <c r="I434" i="10"/>
  <c r="L477" i="10"/>
  <c r="O477" i="10" s="1"/>
  <c r="K538" i="10"/>
  <c r="N688" i="10"/>
  <c r="L657" i="9"/>
  <c r="L655" i="9" s="1"/>
  <c r="M155" i="8"/>
  <c r="P155" i="8" s="1"/>
  <c r="L317" i="8"/>
  <c r="O317" i="8" s="1"/>
  <c r="K669" i="8"/>
  <c r="M68" i="9"/>
  <c r="M66" i="9" s="1"/>
  <c r="P66" i="9" s="1"/>
  <c r="L94" i="9"/>
  <c r="O94" i="9" s="1"/>
  <c r="L187" i="9"/>
  <c r="O187" i="9" s="1"/>
  <c r="L279" i="9"/>
  <c r="L277" i="9" s="1"/>
  <c r="L348" i="9"/>
  <c r="O348" i="9" s="1"/>
  <c r="O410" i="9"/>
  <c r="L446" i="9"/>
  <c r="L444" i="9" s="1"/>
  <c r="O444" i="9" s="1"/>
  <c r="K725" i="9"/>
  <c r="I260" i="8"/>
  <c r="K260" i="8" s="1"/>
  <c r="K576" i="8"/>
  <c r="M94" i="9"/>
  <c r="P94" i="9" s="1"/>
  <c r="L167" i="9"/>
  <c r="O282" i="9"/>
  <c r="P348" i="9"/>
  <c r="L392" i="9"/>
  <c r="O392" i="9" s="1"/>
  <c r="P333" i="7"/>
  <c r="L300" i="8"/>
  <c r="L298" i="8" s="1"/>
  <c r="L391" i="8"/>
  <c r="O391" i="8" s="1"/>
  <c r="L36" i="8"/>
  <c r="O36" i="8" s="1"/>
  <c r="N68" i="9"/>
  <c r="N66" i="9" s="1"/>
  <c r="O137" i="9"/>
  <c r="M134" i="9"/>
  <c r="M132" i="9" s="1"/>
  <c r="P132" i="9" s="1"/>
  <c r="L321" i="9"/>
  <c r="O321" i="9" s="1"/>
  <c r="K359" i="9"/>
  <c r="L404" i="9"/>
  <c r="O404" i="9" s="1"/>
  <c r="O456" i="9"/>
  <c r="L470" i="9"/>
  <c r="O470" i="9" s="1"/>
  <c r="K594" i="9"/>
  <c r="K647" i="9"/>
  <c r="O93" i="9"/>
  <c r="I208" i="9"/>
  <c r="K208" i="9" s="1"/>
  <c r="L230" i="9"/>
  <c r="O269" i="9"/>
  <c r="M395" i="9"/>
  <c r="P395" i="9" s="1"/>
  <c r="K723" i="9"/>
  <c r="I522" i="8"/>
  <c r="K522" i="8" s="1"/>
  <c r="I112" i="9"/>
  <c r="K112" i="9" s="1"/>
  <c r="O124" i="9"/>
  <c r="K176" i="9"/>
  <c r="N300" i="9"/>
  <c r="N298" i="9" s="1"/>
  <c r="K720" i="9"/>
  <c r="L788" i="9"/>
  <c r="O788" i="9" s="1"/>
  <c r="K801" i="9"/>
  <c r="K823" i="9"/>
  <c r="K826" i="9"/>
  <c r="L526" i="7"/>
  <c r="O526" i="7" s="1"/>
  <c r="K255" i="8"/>
  <c r="J721" i="8"/>
  <c r="N44" i="9"/>
  <c r="O44" i="9" s="1"/>
  <c r="O46" i="9"/>
  <c r="N55" i="9"/>
  <c r="N53" i="9" s="1"/>
  <c r="N168" i="9"/>
  <c r="P168" i="9" s="1"/>
  <c r="P170" i="9"/>
  <c r="O634" i="9"/>
  <c r="L631" i="9"/>
  <c r="N69" i="9"/>
  <c r="M347" i="5"/>
  <c r="M345" i="5" s="1"/>
  <c r="L121" i="7"/>
  <c r="L119" i="7" s="1"/>
  <c r="N167" i="8"/>
  <c r="N165" i="8" s="1"/>
  <c r="M171" i="8"/>
  <c r="P171" i="8" s="1"/>
  <c r="K244" i="8"/>
  <c r="N263" i="8"/>
  <c r="N261" i="8" s="1"/>
  <c r="P353" i="8"/>
  <c r="P410" i="8"/>
  <c r="O49" i="9"/>
  <c r="L26" i="9"/>
  <c r="L24" i="9" s="1"/>
  <c r="L134" i="9"/>
  <c r="L132" i="9" s="1"/>
  <c r="O132" i="9" s="1"/>
  <c r="L138" i="9"/>
  <c r="O138" i="9" s="1"/>
  <c r="K244" i="9"/>
  <c r="K370" i="9"/>
  <c r="I434" i="9"/>
  <c r="I418" i="9" s="1"/>
  <c r="K418" i="9" s="1"/>
  <c r="O61" i="8"/>
  <c r="O152" i="8"/>
  <c r="L187" i="8"/>
  <c r="O187" i="8" s="1"/>
  <c r="L217" i="8"/>
  <c r="O217" i="8" s="1"/>
  <c r="M318" i="8"/>
  <c r="P318" i="8" s="1"/>
  <c r="M321" i="8"/>
  <c r="P321" i="8" s="1"/>
  <c r="N330" i="8"/>
  <c r="N328" i="8" s="1"/>
  <c r="O549" i="8"/>
  <c r="L43" i="9"/>
  <c r="L41" i="9" s="1"/>
  <c r="P93" i="9"/>
  <c r="M91" i="9"/>
  <c r="P91" i="9" s="1"/>
  <c r="M90" i="9"/>
  <c r="M88" i="9" s="1"/>
  <c r="M138" i="9"/>
  <c r="P138" i="9" s="1"/>
  <c r="K159" i="9"/>
  <c r="I164" i="9"/>
  <c r="K164" i="9" s="1"/>
  <c r="K174" i="9"/>
  <c r="N263" i="9"/>
  <c r="N261" i="9" s="1"/>
  <c r="P351" i="9"/>
  <c r="I364" i="8"/>
  <c r="K379" i="8"/>
  <c r="K700" i="8"/>
  <c r="K826" i="8"/>
  <c r="I87" i="9"/>
  <c r="K87" i="9" s="1"/>
  <c r="O91" i="9"/>
  <c r="P140" i="9"/>
  <c r="L152" i="9"/>
  <c r="O152" i="9" s="1"/>
  <c r="L151" i="9"/>
  <c r="O151" i="9" s="1"/>
  <c r="O170" i="9"/>
  <c r="K224" i="9"/>
  <c r="I216" i="9"/>
  <c r="K216" i="9" s="1"/>
  <c r="K325" i="9"/>
  <c r="I314" i="9"/>
  <c r="K314" i="9" s="1"/>
  <c r="J327" i="9"/>
  <c r="K327" i="9" s="1"/>
  <c r="L405" i="9"/>
  <c r="O405" i="9" s="1"/>
  <c r="O407" i="9"/>
  <c r="O424" i="9"/>
  <c r="L421" i="9"/>
  <c r="J537" i="9"/>
  <c r="J522" i="9" s="1"/>
  <c r="K728" i="9"/>
  <c r="J722" i="9"/>
  <c r="K722" i="9" s="1"/>
  <c r="N125" i="9"/>
  <c r="N121" i="9"/>
  <c r="N119" i="9" s="1"/>
  <c r="I197" i="7"/>
  <c r="K197" i="7" s="1"/>
  <c r="P280" i="7"/>
  <c r="L33" i="9"/>
  <c r="L31" i="9" s="1"/>
  <c r="O31" i="9" s="1"/>
  <c r="N43" i="9"/>
  <c r="N41" i="9" s="1"/>
  <c r="N90" i="9"/>
  <c r="N88" i="9" s="1"/>
  <c r="N94" i="9"/>
  <c r="O173" i="9"/>
  <c r="L171" i="9"/>
  <c r="O171" i="9" s="1"/>
  <c r="N183" i="9"/>
  <c r="N181" i="9" s="1"/>
  <c r="K193" i="9"/>
  <c r="I190" i="9"/>
  <c r="K190" i="9" s="1"/>
  <c r="O320" i="9"/>
  <c r="L318" i="9"/>
  <c r="O318" i="9" s="1"/>
  <c r="L429" i="9"/>
  <c r="O429" i="9" s="1"/>
  <c r="O431" i="9"/>
  <c r="L36" i="9"/>
  <c r="O61" i="9"/>
  <c r="L198" i="9"/>
  <c r="O198" i="9" s="1"/>
  <c r="L330" i="9"/>
  <c r="L328" i="9" s="1"/>
  <c r="K338" i="9"/>
  <c r="M391" i="9"/>
  <c r="P391" i="9" s="1"/>
  <c r="L525" i="9"/>
  <c r="O525" i="9" s="1"/>
  <c r="L183" i="9"/>
  <c r="L181" i="9" s="1"/>
  <c r="O186" i="9"/>
  <c r="P266" i="9"/>
  <c r="M330" i="9"/>
  <c r="K381" i="9"/>
  <c r="N391" i="9"/>
  <c r="N389" i="9" s="1"/>
  <c r="K726" i="9"/>
  <c r="K821" i="9"/>
  <c r="K824" i="9"/>
  <c r="K827" i="9"/>
  <c r="O353" i="9"/>
  <c r="J364" i="9"/>
  <c r="L217" i="9"/>
  <c r="O217" i="9" s="1"/>
  <c r="O350" i="9"/>
  <c r="P353" i="9"/>
  <c r="K365" i="9"/>
  <c r="J433" i="9"/>
  <c r="J417" i="9" s="1"/>
  <c r="K822" i="9"/>
  <c r="K825" i="9"/>
  <c r="K828" i="9"/>
  <c r="O262" i="9"/>
  <c r="K594" i="5"/>
  <c r="I276" i="6"/>
  <c r="K276" i="6" s="1"/>
  <c r="J721" i="7"/>
  <c r="N59" i="8"/>
  <c r="P59" i="8" s="1"/>
  <c r="P93" i="8"/>
  <c r="M134" i="8"/>
  <c r="P134" i="8" s="1"/>
  <c r="I233" i="8"/>
  <c r="K233" i="8" s="1"/>
  <c r="M283" i="8"/>
  <c r="P283" i="8" s="1"/>
  <c r="K340" i="8"/>
  <c r="M392" i="8"/>
  <c r="P392" i="8" s="1"/>
  <c r="L404" i="8"/>
  <c r="L402" i="8" s="1"/>
  <c r="O402" i="8" s="1"/>
  <c r="I443" i="8"/>
  <c r="K443" i="8" s="1"/>
  <c r="L631" i="8"/>
  <c r="L629" i="8" s="1"/>
  <c r="O629" i="8" s="1"/>
  <c r="K823" i="8"/>
  <c r="L125" i="9"/>
  <c r="O125" i="9" s="1"/>
  <c r="O127" i="9"/>
  <c r="L454" i="7"/>
  <c r="O454" i="7" s="1"/>
  <c r="M187" i="8"/>
  <c r="P187" i="8" s="1"/>
  <c r="M171" i="9"/>
  <c r="P171" i="9" s="1"/>
  <c r="P173" i="9"/>
  <c r="M167" i="9"/>
  <c r="K651" i="8"/>
  <c r="L56" i="9"/>
  <c r="O58" i="9"/>
  <c r="L23" i="9"/>
  <c r="L55" i="9"/>
  <c r="N152" i="9"/>
  <c r="P152" i="9" s="1"/>
  <c r="N23" i="9"/>
  <c r="N21" i="9" s="1"/>
  <c r="N151" i="9"/>
  <c r="N149" i="9" s="1"/>
  <c r="P285" i="9"/>
  <c r="M283" i="9"/>
  <c r="P283" i="9" s="1"/>
  <c r="M279" i="9"/>
  <c r="M277" i="9" s="1"/>
  <c r="I442" i="9"/>
  <c r="K442" i="9" s="1"/>
  <c r="K460" i="9"/>
  <c r="I260" i="7"/>
  <c r="K260" i="7" s="1"/>
  <c r="K360" i="7"/>
  <c r="L525" i="7"/>
  <c r="O525" i="7" s="1"/>
  <c r="L555" i="7"/>
  <c r="O555" i="7" s="1"/>
  <c r="M151" i="8"/>
  <c r="M149" i="8" s="1"/>
  <c r="P186" i="8"/>
  <c r="P348" i="8"/>
  <c r="K460" i="8"/>
  <c r="K821" i="8"/>
  <c r="K824" i="8"/>
  <c r="N15" i="9"/>
  <c r="P54" i="9"/>
  <c r="L238" i="9"/>
  <c r="L228" i="9"/>
  <c r="I143" i="7"/>
  <c r="I131" i="7" s="1"/>
  <c r="L228" i="7"/>
  <c r="K378" i="7"/>
  <c r="K381" i="7"/>
  <c r="L470" i="7"/>
  <c r="O470" i="7" s="1"/>
  <c r="K651" i="7"/>
  <c r="I86" i="8"/>
  <c r="K86" i="8" s="1"/>
  <c r="L122" i="8"/>
  <c r="O122" i="8" s="1"/>
  <c r="M334" i="8"/>
  <c r="P334" i="8" s="1"/>
  <c r="M404" i="8"/>
  <c r="P404" i="8" s="1"/>
  <c r="N29" i="9"/>
  <c r="N28" i="9" s="1"/>
  <c r="N59" i="9"/>
  <c r="N26" i="9"/>
  <c r="N16" i="9" s="1"/>
  <c r="L264" i="9"/>
  <c r="O264" i="9" s="1"/>
  <c r="O266" i="9"/>
  <c r="L263" i="9"/>
  <c r="P46" i="7"/>
  <c r="L72" i="8"/>
  <c r="O72" i="8" s="1"/>
  <c r="N300" i="8"/>
  <c r="N298" i="8" s="1"/>
  <c r="N347" i="8"/>
  <c r="N345" i="8" s="1"/>
  <c r="K369" i="8"/>
  <c r="K647" i="8"/>
  <c r="K822" i="8"/>
  <c r="K825" i="8"/>
  <c r="N19" i="9"/>
  <c r="N12" i="9"/>
  <c r="O42" i="9"/>
  <c r="J143" i="9"/>
  <c r="J131" i="9" s="1"/>
  <c r="I143" i="9"/>
  <c r="K145" i="9"/>
  <c r="M26" i="9"/>
  <c r="N56" i="9"/>
  <c r="P56" i="9" s="1"/>
  <c r="P58" i="9"/>
  <c r="M151" i="9"/>
  <c r="M183" i="9"/>
  <c r="P189" i="9"/>
  <c r="N317" i="9"/>
  <c r="N315" i="9" s="1"/>
  <c r="K827" i="8"/>
  <c r="M12" i="9"/>
  <c r="M19" i="9"/>
  <c r="M122" i="9"/>
  <c r="P122" i="9" s="1"/>
  <c r="I130" i="9"/>
  <c r="K130" i="9" s="1"/>
  <c r="K146" i="9"/>
  <c r="M155" i="9"/>
  <c r="P155" i="9" s="1"/>
  <c r="K204" i="9"/>
  <c r="I197" i="9"/>
  <c r="K197" i="9" s="1"/>
  <c r="K287" i="9"/>
  <c r="I276" i="9"/>
  <c r="K276" i="9" s="1"/>
  <c r="M55" i="9"/>
  <c r="I77" i="9"/>
  <c r="P184" i="9"/>
  <c r="N279" i="9"/>
  <c r="L301" i="9"/>
  <c r="O301" i="9" s="1"/>
  <c r="L300" i="9"/>
  <c r="O300" i="9" s="1"/>
  <c r="O333" i="9"/>
  <c r="N657" i="9"/>
  <c r="N658" i="9"/>
  <c r="K828" i="8"/>
  <c r="L9" i="9"/>
  <c r="L15" i="9"/>
  <c r="M23" i="9"/>
  <c r="L29" i="9"/>
  <c r="M30" i="9"/>
  <c r="M59" i="9"/>
  <c r="P59" i="9" s="1"/>
  <c r="K81" i="9"/>
  <c r="L90" i="9"/>
  <c r="K98" i="9"/>
  <c r="L121" i="9"/>
  <c r="O121" i="9" s="1"/>
  <c r="O182" i="9"/>
  <c r="O184" i="9"/>
  <c r="N227" i="9"/>
  <c r="K255" i="9"/>
  <c r="I248" i="9"/>
  <c r="I233" i="9"/>
  <c r="K233" i="9" s="1"/>
  <c r="M263" i="9"/>
  <c r="P278" i="9"/>
  <c r="P280" i="9"/>
  <c r="J592" i="9"/>
  <c r="K592" i="9" s="1"/>
  <c r="K593" i="9"/>
  <c r="P154" i="9"/>
  <c r="L209" i="9"/>
  <c r="O209" i="9" s="1"/>
  <c r="N331" i="9"/>
  <c r="O331" i="9" s="1"/>
  <c r="N330" i="9"/>
  <c r="N328" i="9" s="1"/>
  <c r="P346" i="9"/>
  <c r="L283" i="9"/>
  <c r="O283" i="9" s="1"/>
  <c r="M317" i="9"/>
  <c r="P317" i="9" s="1"/>
  <c r="M404" i="9"/>
  <c r="P407" i="9"/>
  <c r="O449" i="9"/>
  <c r="L447" i="9"/>
  <c r="O447" i="9" s="1"/>
  <c r="K651" i="9"/>
  <c r="O656" i="9"/>
  <c r="O806" i="9"/>
  <c r="L805" i="9"/>
  <c r="O805" i="9" s="1"/>
  <c r="P320" i="9"/>
  <c r="K340" i="9"/>
  <c r="P350" i="9"/>
  <c r="I364" i="9"/>
  <c r="K385" i="9"/>
  <c r="L391" i="9"/>
  <c r="M414" i="9"/>
  <c r="P414" i="9" s="1"/>
  <c r="P503" i="9"/>
  <c r="M502" i="9"/>
  <c r="P502" i="9" s="1"/>
  <c r="K568" i="9"/>
  <c r="K577" i="9"/>
  <c r="K355" i="9"/>
  <c r="K374" i="9"/>
  <c r="L547" i="9"/>
  <c r="O547" i="9" s="1"/>
  <c r="O549" i="9"/>
  <c r="P333" i="9"/>
  <c r="N347" i="9"/>
  <c r="P468" i="9"/>
  <c r="M467" i="9"/>
  <c r="P467" i="9" s="1"/>
  <c r="P657" i="9"/>
  <c r="M655" i="9"/>
  <c r="P655" i="9" s="1"/>
  <c r="O658" i="9"/>
  <c r="K675" i="9"/>
  <c r="I654" i="9"/>
  <c r="K654" i="9" s="1"/>
  <c r="K674" i="9"/>
  <c r="K673" i="9"/>
  <c r="K669" i="9"/>
  <c r="K672" i="9"/>
  <c r="O690" i="9"/>
  <c r="L687" i="9"/>
  <c r="O687" i="9" s="1"/>
  <c r="L688" i="9"/>
  <c r="O688" i="9" s="1"/>
  <c r="P807" i="9"/>
  <c r="M805" i="9"/>
  <c r="P805" i="9" s="1"/>
  <c r="L526" i="9"/>
  <c r="O526" i="9" s="1"/>
  <c r="L639" i="9"/>
  <c r="O639" i="9" s="1"/>
  <c r="O660" i="9"/>
  <c r="I785" i="9"/>
  <c r="L789" i="9"/>
  <c r="O789" i="9" s="1"/>
  <c r="L477" i="9"/>
  <c r="O477" i="9" s="1"/>
  <c r="L737" i="9"/>
  <c r="O737" i="9" s="1"/>
  <c r="L754" i="9"/>
  <c r="O754" i="9" s="1"/>
  <c r="L770" i="9"/>
  <c r="O770" i="9" s="1"/>
  <c r="L469" i="9"/>
  <c r="K539" i="9"/>
  <c r="M301" i="8"/>
  <c r="M300" i="8"/>
  <c r="L446" i="8"/>
  <c r="L444" i="8" s="1"/>
  <c r="O444" i="8" s="1"/>
  <c r="O456" i="8"/>
  <c r="L454" i="8"/>
  <c r="O454" i="8" s="1"/>
  <c r="P320" i="7"/>
  <c r="M317" i="7"/>
  <c r="P317" i="7" s="1"/>
  <c r="K309" i="8"/>
  <c r="I297" i="8"/>
  <c r="K297" i="8" s="1"/>
  <c r="O472" i="5"/>
  <c r="L470" i="5"/>
  <c r="O470" i="5" s="1"/>
  <c r="M168" i="8"/>
  <c r="P168" i="8" s="1"/>
  <c r="M391" i="8"/>
  <c r="P397" i="8"/>
  <c r="M395" i="8"/>
  <c r="P395" i="8" s="1"/>
  <c r="P306" i="5"/>
  <c r="M304" i="5"/>
  <c r="P304" i="5" s="1"/>
  <c r="L155" i="8"/>
  <c r="O155" i="8" s="1"/>
  <c r="O157" i="8"/>
  <c r="K215" i="8"/>
  <c r="I208" i="8"/>
  <c r="K208" i="8" s="1"/>
  <c r="N391" i="8"/>
  <c r="N389" i="8" s="1"/>
  <c r="L33" i="8"/>
  <c r="O472" i="8"/>
  <c r="K379" i="7"/>
  <c r="O69" i="8"/>
  <c r="N90" i="8"/>
  <c r="N91" i="8"/>
  <c r="M152" i="8"/>
  <c r="P152" i="8" s="1"/>
  <c r="K176" i="8"/>
  <c r="I174" i="8"/>
  <c r="I164" i="8" s="1"/>
  <c r="K164" i="8" s="1"/>
  <c r="N184" i="8"/>
  <c r="N183" i="8"/>
  <c r="N181" i="8" s="1"/>
  <c r="J288" i="8"/>
  <c r="J275" i="8" s="1"/>
  <c r="K275" i="8" s="1"/>
  <c r="O306" i="8"/>
  <c r="L304" i="8"/>
  <c r="O304" i="8" s="1"/>
  <c r="O410" i="8"/>
  <c r="L408" i="8"/>
  <c r="O408" i="8" s="1"/>
  <c r="L429" i="8"/>
  <c r="O429" i="8" s="1"/>
  <c r="J722" i="8"/>
  <c r="P61" i="6"/>
  <c r="M59" i="6"/>
  <c r="P59" i="6" s="1"/>
  <c r="P189" i="7"/>
  <c r="M187" i="7"/>
  <c r="P187" i="7" s="1"/>
  <c r="O323" i="7"/>
  <c r="L321" i="7"/>
  <c r="O321" i="7" s="1"/>
  <c r="P74" i="8"/>
  <c r="M68" i="8"/>
  <c r="M66" i="8" s="1"/>
  <c r="M72" i="8"/>
  <c r="P72" i="8" s="1"/>
  <c r="P137" i="8"/>
  <c r="M135" i="8"/>
  <c r="P135" i="8" s="1"/>
  <c r="L279" i="8"/>
  <c r="L277" i="8" s="1"/>
  <c r="L280" i="8"/>
  <c r="O280" i="8" s="1"/>
  <c r="O407" i="8"/>
  <c r="L405" i="8"/>
  <c r="O405" i="8" s="1"/>
  <c r="O660" i="8"/>
  <c r="L657" i="8"/>
  <c r="N167" i="7"/>
  <c r="N165" i="7" s="1"/>
  <c r="O58" i="8"/>
  <c r="I216" i="8"/>
  <c r="K216" i="8" s="1"/>
  <c r="J327" i="8"/>
  <c r="K327" i="8" s="1"/>
  <c r="K355" i="8"/>
  <c r="P264" i="7"/>
  <c r="L43" i="8"/>
  <c r="L41" i="8" s="1"/>
  <c r="M23" i="8"/>
  <c r="M13" i="8" s="1"/>
  <c r="M11" i="8" s="1"/>
  <c r="L283" i="8"/>
  <c r="O283" i="8" s="1"/>
  <c r="M347" i="8"/>
  <c r="M345" i="8" s="1"/>
  <c r="K360" i="8"/>
  <c r="K370" i="8"/>
  <c r="I433" i="8"/>
  <c r="I417" i="8" s="1"/>
  <c r="O641" i="8"/>
  <c r="N43" i="8"/>
  <c r="N41" i="8" s="1"/>
  <c r="I76" i="8"/>
  <c r="K76" i="8" s="1"/>
  <c r="L421" i="8"/>
  <c r="O421" i="8" s="1"/>
  <c r="L47" i="8"/>
  <c r="O47" i="8" s="1"/>
  <c r="M26" i="8"/>
  <c r="M24" i="8" s="1"/>
  <c r="P71" i="8"/>
  <c r="O93" i="8"/>
  <c r="I112" i="8"/>
  <c r="K112" i="8" s="1"/>
  <c r="N121" i="8"/>
  <c r="N119" i="8" s="1"/>
  <c r="I130" i="8"/>
  <c r="K130" i="8" s="1"/>
  <c r="L151" i="8"/>
  <c r="L149" i="8" s="1"/>
  <c r="O170" i="8"/>
  <c r="O186" i="8"/>
  <c r="P306" i="8"/>
  <c r="P350" i="8"/>
  <c r="K649" i="8"/>
  <c r="M279" i="7"/>
  <c r="M277" i="7" s="1"/>
  <c r="L228" i="6"/>
  <c r="L249" i="7"/>
  <c r="O249" i="7" s="1"/>
  <c r="M283" i="7"/>
  <c r="P283" i="7" s="1"/>
  <c r="K338" i="6"/>
  <c r="L347" i="6"/>
  <c r="L345" i="6" s="1"/>
  <c r="M408" i="6"/>
  <c r="P408" i="6" s="1"/>
  <c r="L56" i="8"/>
  <c r="O56" i="8" s="1"/>
  <c r="O71" i="8"/>
  <c r="L91" i="8"/>
  <c r="K116" i="8"/>
  <c r="O154" i="8"/>
  <c r="L184" i="8"/>
  <c r="L231" i="8"/>
  <c r="M280" i="8"/>
  <c r="P280" i="8" s="1"/>
  <c r="M330" i="8"/>
  <c r="N395" i="8"/>
  <c r="L526" i="8"/>
  <c r="O526" i="8" s="1"/>
  <c r="L687" i="8"/>
  <c r="O687" i="8" s="1"/>
  <c r="M94" i="8"/>
  <c r="P94" i="8" s="1"/>
  <c r="M125" i="8"/>
  <c r="P125" i="8" s="1"/>
  <c r="L138" i="8"/>
  <c r="O138" i="8" s="1"/>
  <c r="L168" i="8"/>
  <c r="O168" i="8" s="1"/>
  <c r="M167" i="8"/>
  <c r="I190" i="8"/>
  <c r="K190" i="8" s="1"/>
  <c r="O282" i="8"/>
  <c r="M317" i="8"/>
  <c r="P317" i="8" s="1"/>
  <c r="P407" i="8"/>
  <c r="K672" i="8"/>
  <c r="O690" i="8"/>
  <c r="P58" i="8"/>
  <c r="N68" i="8"/>
  <c r="I77" i="8"/>
  <c r="K77" i="8" s="1"/>
  <c r="M138" i="8"/>
  <c r="P138" i="8" s="1"/>
  <c r="N151" i="8"/>
  <c r="P282" i="8"/>
  <c r="K374" i="8"/>
  <c r="N404" i="8"/>
  <c r="N402" i="8" s="1"/>
  <c r="L546" i="8"/>
  <c r="L544" i="8" s="1"/>
  <c r="K673" i="8"/>
  <c r="M392" i="7"/>
  <c r="P392" i="7" s="1"/>
  <c r="L68" i="8"/>
  <c r="L66" i="8" s="1"/>
  <c r="K78" i="8"/>
  <c r="K81" i="8"/>
  <c r="K111" i="8"/>
  <c r="J143" i="8"/>
  <c r="J131" i="8" s="1"/>
  <c r="M331" i="8"/>
  <c r="P331" i="8" s="1"/>
  <c r="K674" i="8"/>
  <c r="L209" i="8"/>
  <c r="O209" i="8" s="1"/>
  <c r="P351" i="8"/>
  <c r="K372" i="8"/>
  <c r="O127" i="8"/>
  <c r="L121" i="8"/>
  <c r="K359" i="4"/>
  <c r="L300" i="6"/>
  <c r="L298" i="6" s="1"/>
  <c r="L304" i="6"/>
  <c r="O304" i="6" s="1"/>
  <c r="P350" i="6"/>
  <c r="K359" i="6"/>
  <c r="K372" i="6"/>
  <c r="L525" i="6"/>
  <c r="O525" i="6" s="1"/>
  <c r="K701" i="6"/>
  <c r="N43" i="7"/>
  <c r="N41" i="7" s="1"/>
  <c r="P71" i="7"/>
  <c r="I86" i="7"/>
  <c r="K86" i="7" s="1"/>
  <c r="P127" i="7"/>
  <c r="M321" i="7"/>
  <c r="P321" i="7" s="1"/>
  <c r="K359" i="7"/>
  <c r="K362" i="7"/>
  <c r="K374" i="7"/>
  <c r="K462" i="7"/>
  <c r="L12" i="8"/>
  <c r="N23" i="8"/>
  <c r="M28" i="8"/>
  <c r="P28" i="8" s="1"/>
  <c r="N30" i="8"/>
  <c r="N28" i="8" s="1"/>
  <c r="N44" i="8"/>
  <c r="P44" i="8" s="1"/>
  <c r="N55" i="8"/>
  <c r="M184" i="8"/>
  <c r="L198" i="8"/>
  <c r="O198" i="8" s="1"/>
  <c r="P269" i="8"/>
  <c r="M267" i="8"/>
  <c r="P267" i="8" s="1"/>
  <c r="M263" i="8"/>
  <c r="P523" i="8"/>
  <c r="L249" i="8"/>
  <c r="O249" i="8" s="1"/>
  <c r="L228" i="8"/>
  <c r="M90" i="7"/>
  <c r="M88" i="7" s="1"/>
  <c r="O93" i="7"/>
  <c r="M151" i="7"/>
  <c r="P151" i="7" s="1"/>
  <c r="M334" i="7"/>
  <c r="P334" i="7" s="1"/>
  <c r="P15" i="8"/>
  <c r="N15" i="8"/>
  <c r="L125" i="8"/>
  <c r="O125" i="8" s="1"/>
  <c r="O137" i="8"/>
  <c r="L134" i="8"/>
  <c r="K248" i="8"/>
  <c r="I226" i="8"/>
  <c r="P299" i="8"/>
  <c r="I434" i="8"/>
  <c r="K438" i="8"/>
  <c r="O173" i="8"/>
  <c r="L167" i="8"/>
  <c r="N321" i="8"/>
  <c r="N317" i="8"/>
  <c r="N315" i="8" s="1"/>
  <c r="L405" i="6"/>
  <c r="O405" i="6" s="1"/>
  <c r="I785" i="6"/>
  <c r="O61" i="7"/>
  <c r="N68" i="7"/>
  <c r="N66" i="7" s="1"/>
  <c r="L187" i="7"/>
  <c r="O187" i="7" s="1"/>
  <c r="N300" i="7"/>
  <c r="N298" i="7" s="1"/>
  <c r="N19" i="8"/>
  <c r="L29" i="8"/>
  <c r="M31" i="8"/>
  <c r="P31" i="8" s="1"/>
  <c r="O32" i="8"/>
  <c r="P33" i="8"/>
  <c r="O35" i="8"/>
  <c r="M56" i="8"/>
  <c r="P56" i="8" s="1"/>
  <c r="M55" i="8"/>
  <c r="P61" i="8"/>
  <c r="L135" i="8"/>
  <c r="O135" i="8" s="1"/>
  <c r="O150" i="8"/>
  <c r="K235" i="8"/>
  <c r="P89" i="8"/>
  <c r="L264" i="8"/>
  <c r="O266" i="8"/>
  <c r="L263" i="8"/>
  <c r="L55" i="7"/>
  <c r="L53" i="7" s="1"/>
  <c r="P154" i="7"/>
  <c r="I208" i="7"/>
  <c r="K208" i="7" s="1"/>
  <c r="L231" i="7"/>
  <c r="L300" i="7"/>
  <c r="O300" i="7" s="1"/>
  <c r="L404" i="7"/>
  <c r="O404" i="7" s="1"/>
  <c r="K577" i="7"/>
  <c r="M9" i="8"/>
  <c r="P12" i="8"/>
  <c r="M19" i="8"/>
  <c r="L26" i="8"/>
  <c r="L24" i="8" s="1"/>
  <c r="N31" i="8"/>
  <c r="P49" i="8"/>
  <c r="P120" i="8"/>
  <c r="K143" i="8"/>
  <c r="I131" i="8"/>
  <c r="K131" i="8" s="1"/>
  <c r="M183" i="8"/>
  <c r="K365" i="8"/>
  <c r="J364" i="8"/>
  <c r="L330" i="5"/>
  <c r="L328" i="5" s="1"/>
  <c r="I148" i="7"/>
  <c r="K148" i="7" s="1"/>
  <c r="K370" i="7"/>
  <c r="L405" i="7"/>
  <c r="O405" i="7" s="1"/>
  <c r="L408" i="7"/>
  <c r="O408" i="7" s="1"/>
  <c r="L446" i="7"/>
  <c r="O446" i="7" s="1"/>
  <c r="L15" i="8"/>
  <c r="P22" i="8"/>
  <c r="P46" i="8"/>
  <c r="M43" i="8"/>
  <c r="P54" i="8"/>
  <c r="L94" i="8"/>
  <c r="O94" i="8" s="1"/>
  <c r="O182" i="8"/>
  <c r="L348" i="8"/>
  <c r="O348" i="8" s="1"/>
  <c r="O350" i="8"/>
  <c r="L347" i="8"/>
  <c r="O46" i="8"/>
  <c r="N26" i="8"/>
  <c r="N24" i="8" s="1"/>
  <c r="M91" i="8"/>
  <c r="K99" i="8"/>
  <c r="M122" i="8"/>
  <c r="P122" i="8" s="1"/>
  <c r="L238" i="8"/>
  <c r="N264" i="8"/>
  <c r="P264" i="8" s="1"/>
  <c r="P266" i="8"/>
  <c r="P316" i="8"/>
  <c r="L331" i="8"/>
  <c r="O331" i="8" s="1"/>
  <c r="O333" i="8"/>
  <c r="L330" i="8"/>
  <c r="K338" i="8"/>
  <c r="J592" i="8"/>
  <c r="K592" i="8" s="1"/>
  <c r="K593" i="8"/>
  <c r="O686" i="8"/>
  <c r="O269" i="8"/>
  <c r="N279" i="8"/>
  <c r="K287" i="8"/>
  <c r="I276" i="8"/>
  <c r="K276" i="8" s="1"/>
  <c r="O299" i="8"/>
  <c r="N301" i="8"/>
  <c r="O301" i="8" s="1"/>
  <c r="O303" i="8"/>
  <c r="M90" i="8"/>
  <c r="M121" i="8"/>
  <c r="P121" i="8" s="1"/>
  <c r="N134" i="8"/>
  <c r="N132" i="8" s="1"/>
  <c r="K145" i="8"/>
  <c r="K204" i="8"/>
  <c r="I197" i="8"/>
  <c r="K197" i="8" s="1"/>
  <c r="P303" i="8"/>
  <c r="L392" i="8"/>
  <c r="O392" i="8" s="1"/>
  <c r="O394" i="8"/>
  <c r="N12" i="8"/>
  <c r="L23" i="8"/>
  <c r="O25" i="8"/>
  <c r="P67" i="8"/>
  <c r="P69" i="8"/>
  <c r="P154" i="8"/>
  <c r="L318" i="8"/>
  <c r="O318" i="8" s="1"/>
  <c r="O320" i="8"/>
  <c r="L321" i="8"/>
  <c r="O321" i="8" s="1"/>
  <c r="O323" i="8"/>
  <c r="J560" i="8"/>
  <c r="K560" i="8" s="1"/>
  <c r="K577" i="8"/>
  <c r="L395" i="8"/>
  <c r="O395" i="8" s="1"/>
  <c r="O397" i="8"/>
  <c r="O524" i="8"/>
  <c r="K569" i="8"/>
  <c r="L447" i="8"/>
  <c r="O447" i="8" s="1"/>
  <c r="O449" i="8"/>
  <c r="K543" i="8"/>
  <c r="L632" i="8"/>
  <c r="O632" i="8" s="1"/>
  <c r="O634" i="8"/>
  <c r="M685" i="8"/>
  <c r="P685" i="8" s="1"/>
  <c r="P755" i="8"/>
  <c r="M754" i="8"/>
  <c r="P754" i="8" s="1"/>
  <c r="I785" i="8"/>
  <c r="K785" i="8" s="1"/>
  <c r="K800" i="8"/>
  <c r="O806" i="8"/>
  <c r="L805" i="8"/>
  <c r="O805" i="8" s="1"/>
  <c r="K628" i="8"/>
  <c r="P738" i="8"/>
  <c r="M737" i="8"/>
  <c r="P737" i="8" s="1"/>
  <c r="P771" i="8"/>
  <c r="M770" i="8"/>
  <c r="P770" i="8" s="1"/>
  <c r="L334" i="8"/>
  <c r="O334" i="8" s="1"/>
  <c r="O336" i="8"/>
  <c r="L351" i="8"/>
  <c r="O351" i="8" s="1"/>
  <c r="O353" i="8"/>
  <c r="L422" i="8"/>
  <c r="O422" i="8" s="1"/>
  <c r="O424" i="8"/>
  <c r="L477" i="8"/>
  <c r="O477" i="8" s="1"/>
  <c r="O479" i="8"/>
  <c r="L469" i="8"/>
  <c r="N737" i="8"/>
  <c r="N770" i="8"/>
  <c r="O787" i="8"/>
  <c r="L786" i="8"/>
  <c r="O786" i="8" s="1"/>
  <c r="P403" i="8"/>
  <c r="O545" i="8"/>
  <c r="K559" i="8"/>
  <c r="I654" i="8"/>
  <c r="K654" i="8" s="1"/>
  <c r="O791" i="8"/>
  <c r="J537" i="8"/>
  <c r="J522" i="8" s="1"/>
  <c r="J433" i="8"/>
  <c r="L533" i="8"/>
  <c r="O533" i="8" s="1"/>
  <c r="L525" i="8"/>
  <c r="O525" i="8" s="1"/>
  <c r="N546" i="8"/>
  <c r="M56" i="7"/>
  <c r="P56" i="7" s="1"/>
  <c r="M55" i="7"/>
  <c r="M53" i="7" s="1"/>
  <c r="L429" i="7"/>
  <c r="O429" i="7" s="1"/>
  <c r="L36" i="7"/>
  <c r="O36" i="7" s="1"/>
  <c r="O431" i="7"/>
  <c r="I442" i="4"/>
  <c r="K442" i="4" s="1"/>
  <c r="K725" i="6"/>
  <c r="N151" i="7"/>
  <c r="N149" i="7" s="1"/>
  <c r="N152" i="7"/>
  <c r="K224" i="7"/>
  <c r="I216" i="7"/>
  <c r="K216" i="7" s="1"/>
  <c r="L317" i="7"/>
  <c r="L315" i="7" s="1"/>
  <c r="O315" i="7" s="1"/>
  <c r="L318" i="7"/>
  <c r="O318" i="7" s="1"/>
  <c r="K325" i="7"/>
  <c r="I314" i="7"/>
  <c r="K314" i="7" s="1"/>
  <c r="I260" i="4"/>
  <c r="K260" i="4" s="1"/>
  <c r="O528" i="4"/>
  <c r="I297" i="5"/>
  <c r="K297" i="5" s="1"/>
  <c r="L408" i="6"/>
  <c r="O408" i="6" s="1"/>
  <c r="I275" i="7"/>
  <c r="J288" i="7"/>
  <c r="K288" i="7" s="1"/>
  <c r="N347" i="5"/>
  <c r="N345" i="5" s="1"/>
  <c r="P152" i="6"/>
  <c r="K700" i="6"/>
  <c r="O96" i="7"/>
  <c r="L90" i="7"/>
  <c r="L88" i="7" s="1"/>
  <c r="L94" i="7"/>
  <c r="O94" i="7" s="1"/>
  <c r="O269" i="7"/>
  <c r="L263" i="7"/>
  <c r="L267" i="7"/>
  <c r="O267" i="7" s="1"/>
  <c r="O350" i="7"/>
  <c r="N348" i="7"/>
  <c r="O348" i="7" s="1"/>
  <c r="N404" i="7"/>
  <c r="N402" i="7" s="1"/>
  <c r="N405" i="7"/>
  <c r="L688" i="6"/>
  <c r="O688" i="6" s="1"/>
  <c r="P173" i="7"/>
  <c r="M171" i="7"/>
  <c r="P171" i="7" s="1"/>
  <c r="N347" i="7"/>
  <c r="N345" i="7" s="1"/>
  <c r="L36" i="6"/>
  <c r="O36" i="6" s="1"/>
  <c r="M44" i="7"/>
  <c r="P44" i="7" s="1"/>
  <c r="L134" i="7"/>
  <c r="L132" i="7" s="1"/>
  <c r="O264" i="7"/>
  <c r="M69" i="7"/>
  <c r="P69" i="7" s="1"/>
  <c r="N91" i="7"/>
  <c r="O91" i="7" s="1"/>
  <c r="O125" i="7"/>
  <c r="L301" i="7"/>
  <c r="O301" i="7" s="1"/>
  <c r="O306" i="7"/>
  <c r="K338" i="7"/>
  <c r="K369" i="7"/>
  <c r="K443" i="7"/>
  <c r="L658" i="7"/>
  <c r="O658" i="7" s="1"/>
  <c r="L230" i="7"/>
  <c r="P282" i="7"/>
  <c r="M318" i="7"/>
  <c r="P318" i="7" s="1"/>
  <c r="K340" i="7"/>
  <c r="I433" i="7"/>
  <c r="I417" i="7" s="1"/>
  <c r="K561" i="7"/>
  <c r="L122" i="7"/>
  <c r="O122" i="7" s="1"/>
  <c r="O124" i="7"/>
  <c r="J785" i="7"/>
  <c r="L43" i="7"/>
  <c r="O266" i="7"/>
  <c r="M331" i="7"/>
  <c r="P331" i="7" s="1"/>
  <c r="N330" i="7"/>
  <c r="N328" i="7" s="1"/>
  <c r="L347" i="7"/>
  <c r="L345" i="7" s="1"/>
  <c r="P350" i="7"/>
  <c r="J364" i="7"/>
  <c r="L657" i="7"/>
  <c r="O657" i="7" s="1"/>
  <c r="K821" i="7"/>
  <c r="K824" i="7"/>
  <c r="K827" i="7"/>
  <c r="O317" i="7"/>
  <c r="O135" i="6"/>
  <c r="P154" i="6"/>
  <c r="L317" i="6"/>
  <c r="O317" i="6" s="1"/>
  <c r="N330" i="6"/>
  <c r="N328" i="6" s="1"/>
  <c r="P93" i="7"/>
  <c r="I112" i="7"/>
  <c r="K112" i="7" s="1"/>
  <c r="P125" i="7"/>
  <c r="O140" i="7"/>
  <c r="K146" i="7"/>
  <c r="L155" i="7"/>
  <c r="O155" i="7" s="1"/>
  <c r="K193" i="7"/>
  <c r="L198" i="7"/>
  <c r="O198" i="7" s="1"/>
  <c r="L209" i="7"/>
  <c r="O209" i="7" s="1"/>
  <c r="M263" i="7"/>
  <c r="M261" i="7" s="1"/>
  <c r="N301" i="7"/>
  <c r="M348" i="7"/>
  <c r="O351" i="7"/>
  <c r="M391" i="7"/>
  <c r="K537" i="7"/>
  <c r="K569" i="7"/>
  <c r="I628" i="7"/>
  <c r="K628" i="7" s="1"/>
  <c r="P266" i="6"/>
  <c r="M279" i="6"/>
  <c r="M277" i="6" s="1"/>
  <c r="O320" i="6"/>
  <c r="L330" i="6"/>
  <c r="L328" i="6" s="1"/>
  <c r="K385" i="6"/>
  <c r="K801" i="6"/>
  <c r="O127" i="7"/>
  <c r="O138" i="7"/>
  <c r="L151" i="7"/>
  <c r="O151" i="7" s="1"/>
  <c r="M167" i="7"/>
  <c r="M165" i="7" s="1"/>
  <c r="P269" i="7"/>
  <c r="P353" i="7"/>
  <c r="I364" i="7"/>
  <c r="K372" i="7"/>
  <c r="N391" i="7"/>
  <c r="N389" i="7" s="1"/>
  <c r="P407" i="7"/>
  <c r="J433" i="7"/>
  <c r="J417" i="7" s="1"/>
  <c r="K417" i="7" s="1"/>
  <c r="K649" i="7"/>
  <c r="L788" i="7"/>
  <c r="O788" i="7" s="1"/>
  <c r="O791" i="7"/>
  <c r="I785" i="7"/>
  <c r="K785" i="7" s="1"/>
  <c r="K822" i="7"/>
  <c r="K828" i="7"/>
  <c r="P306" i="7"/>
  <c r="P351" i="7"/>
  <c r="M167" i="5"/>
  <c r="M165" i="5" s="1"/>
  <c r="M183" i="5"/>
  <c r="M181" i="5" s="1"/>
  <c r="M180" i="5" s="1"/>
  <c r="N330" i="5"/>
  <c r="N328" i="5" s="1"/>
  <c r="M334" i="5"/>
  <c r="P334" i="5" s="1"/>
  <c r="L121" i="6"/>
  <c r="O121" i="6" s="1"/>
  <c r="I208" i="6"/>
  <c r="K208" i="6" s="1"/>
  <c r="L217" i="6"/>
  <c r="O217" i="6" s="1"/>
  <c r="I260" i="6"/>
  <c r="K260" i="6" s="1"/>
  <c r="P303" i="6"/>
  <c r="M47" i="7"/>
  <c r="P47" i="7" s="1"/>
  <c r="O56" i="7"/>
  <c r="N90" i="7"/>
  <c r="M23" i="7"/>
  <c r="M21" i="7" s="1"/>
  <c r="L152" i="7"/>
  <c r="O152" i="7" s="1"/>
  <c r="M183" i="7"/>
  <c r="M181" i="7" s="1"/>
  <c r="L217" i="7"/>
  <c r="O217" i="7" s="1"/>
  <c r="O320" i="7"/>
  <c r="M330" i="7"/>
  <c r="O336" i="7"/>
  <c r="M395" i="7"/>
  <c r="P395" i="7" s="1"/>
  <c r="K801" i="7"/>
  <c r="K823" i="7"/>
  <c r="M151" i="6"/>
  <c r="M149" i="6" s="1"/>
  <c r="N279" i="6"/>
  <c r="N277" i="6" s="1"/>
  <c r="K593" i="6"/>
  <c r="M43" i="7"/>
  <c r="I76" i="7"/>
  <c r="I64" i="7" s="1"/>
  <c r="K64" i="7" s="1"/>
  <c r="N121" i="7"/>
  <c r="N119" i="7" s="1"/>
  <c r="P266" i="7"/>
  <c r="M347" i="7"/>
  <c r="K355" i="7"/>
  <c r="O397" i="7"/>
  <c r="P15" i="7"/>
  <c r="O49" i="7"/>
  <c r="L26" i="7"/>
  <c r="O186" i="7"/>
  <c r="L183" i="7"/>
  <c r="I276" i="7"/>
  <c r="K276" i="7" s="1"/>
  <c r="K287" i="7"/>
  <c r="M770" i="7"/>
  <c r="P770" i="7" s="1"/>
  <c r="P771" i="7"/>
  <c r="M171" i="5"/>
  <c r="P171" i="5" s="1"/>
  <c r="L229" i="5"/>
  <c r="L122" i="6"/>
  <c r="O122" i="6" s="1"/>
  <c r="M155" i="6"/>
  <c r="P155" i="6" s="1"/>
  <c r="P157" i="6"/>
  <c r="K176" i="6"/>
  <c r="M183" i="6"/>
  <c r="M181" i="6" s="1"/>
  <c r="L209" i="6"/>
  <c r="O209" i="6" s="1"/>
  <c r="O266" i="6"/>
  <c r="M405" i="6"/>
  <c r="P405" i="6" s="1"/>
  <c r="O528" i="6"/>
  <c r="L546" i="6"/>
  <c r="L544" i="6" s="1"/>
  <c r="K647" i="6"/>
  <c r="J721" i="6"/>
  <c r="K721" i="6" s="1"/>
  <c r="O22" i="7"/>
  <c r="L19" i="7"/>
  <c r="L12" i="7"/>
  <c r="L47" i="7"/>
  <c r="O47" i="7" s="1"/>
  <c r="P58" i="7"/>
  <c r="I87" i="7"/>
  <c r="K87" i="7" s="1"/>
  <c r="K99" i="7"/>
  <c r="N122" i="7"/>
  <c r="M301" i="7"/>
  <c r="P301" i="7" s="1"/>
  <c r="M300" i="7"/>
  <c r="P300" i="7" s="1"/>
  <c r="P303" i="7"/>
  <c r="I190" i="4"/>
  <c r="K190" i="4" s="1"/>
  <c r="I276" i="5"/>
  <c r="K276" i="5" s="1"/>
  <c r="I314" i="5"/>
  <c r="K314" i="5" s="1"/>
  <c r="M122" i="6"/>
  <c r="P122" i="6" s="1"/>
  <c r="L125" i="6"/>
  <c r="O125" i="6" s="1"/>
  <c r="O660" i="6"/>
  <c r="P22" i="7"/>
  <c r="M19" i="7"/>
  <c r="P35" i="7"/>
  <c r="M34" i="7"/>
  <c r="P34" i="7" s="1"/>
  <c r="M135" i="7"/>
  <c r="M134" i="7"/>
  <c r="M132" i="7" s="1"/>
  <c r="P137" i="7"/>
  <c r="L184" i="7"/>
  <c r="L238" i="7"/>
  <c r="L229" i="7"/>
  <c r="O282" i="7"/>
  <c r="L279" i="7"/>
  <c r="N28" i="7"/>
  <c r="M68" i="7"/>
  <c r="P74" i="7"/>
  <c r="O306" i="5"/>
  <c r="O152" i="6"/>
  <c r="O168" i="6"/>
  <c r="L279" i="6"/>
  <c r="L277" i="6" s="1"/>
  <c r="I559" i="6"/>
  <c r="L788" i="6"/>
  <c r="O788" i="6" s="1"/>
  <c r="J785" i="6"/>
  <c r="M12" i="7"/>
  <c r="N34" i="7"/>
  <c r="L23" i="7"/>
  <c r="O46" i="7"/>
  <c r="O58" i="7"/>
  <c r="L69" i="7"/>
  <c r="O69" i="7" s="1"/>
  <c r="O71" i="7"/>
  <c r="L68" i="7"/>
  <c r="O137" i="7"/>
  <c r="N134" i="7"/>
  <c r="N132" i="7" s="1"/>
  <c r="O150" i="7"/>
  <c r="I174" i="7"/>
  <c r="K176" i="7"/>
  <c r="L280" i="7"/>
  <c r="O280" i="7" s="1"/>
  <c r="K309" i="7"/>
  <c r="I297" i="7"/>
  <c r="K297" i="7" s="1"/>
  <c r="M187" i="3"/>
  <c r="P187" i="3" s="1"/>
  <c r="L229" i="3"/>
  <c r="K381" i="5"/>
  <c r="M395" i="5"/>
  <c r="P395" i="5" s="1"/>
  <c r="P91" i="6"/>
  <c r="O137" i="6"/>
  <c r="O184" i="6"/>
  <c r="L263" i="6"/>
  <c r="L261" i="6" s="1"/>
  <c r="I275" i="6"/>
  <c r="P282" i="6"/>
  <c r="L631" i="6"/>
  <c r="L629" i="6" s="1"/>
  <c r="K708" i="6"/>
  <c r="K729" i="6"/>
  <c r="M29" i="7"/>
  <c r="L44" i="7"/>
  <c r="O44" i="7" s="1"/>
  <c r="M26" i="7"/>
  <c r="P89" i="7"/>
  <c r="N135" i="7"/>
  <c r="O135" i="7" s="1"/>
  <c r="L167" i="7"/>
  <c r="O173" i="7"/>
  <c r="N187" i="7"/>
  <c r="N183" i="7"/>
  <c r="K225" i="7"/>
  <c r="K255" i="7"/>
  <c r="I248" i="7"/>
  <c r="K248" i="7" s="1"/>
  <c r="M408" i="7"/>
  <c r="P408" i="7" s="1"/>
  <c r="P410" i="7"/>
  <c r="M404" i="7"/>
  <c r="P404" i="7" s="1"/>
  <c r="N55" i="6"/>
  <c r="N53" i="6" s="1"/>
  <c r="L33" i="6"/>
  <c r="O33" i="6" s="1"/>
  <c r="N23" i="7"/>
  <c r="N21" i="7" s="1"/>
  <c r="N55" i="7"/>
  <c r="N59" i="7"/>
  <c r="N26" i="7"/>
  <c r="M122" i="7"/>
  <c r="P122" i="7" s="1"/>
  <c r="P124" i="7"/>
  <c r="M121" i="7"/>
  <c r="M155" i="7"/>
  <c r="P155" i="7" s="1"/>
  <c r="P157" i="7"/>
  <c r="P166" i="7"/>
  <c r="P262" i="7"/>
  <c r="P278" i="7"/>
  <c r="N283" i="7"/>
  <c r="N279" i="7"/>
  <c r="N277" i="7" s="1"/>
  <c r="O424" i="7"/>
  <c r="L422" i="7"/>
  <c r="O422" i="7" s="1"/>
  <c r="L421" i="7"/>
  <c r="O421" i="7" s="1"/>
  <c r="L33" i="7"/>
  <c r="P61" i="7"/>
  <c r="O74" i="7"/>
  <c r="P96" i="7"/>
  <c r="J143" i="7"/>
  <c r="K144" i="7"/>
  <c r="I233" i="7"/>
  <c r="K233" i="7" s="1"/>
  <c r="L331" i="7"/>
  <c r="O331" i="7" s="1"/>
  <c r="O333" i="7"/>
  <c r="L330" i="7"/>
  <c r="K438" i="7"/>
  <c r="I434" i="7"/>
  <c r="M467" i="7"/>
  <c r="P467" i="7" s="1"/>
  <c r="P468" i="7"/>
  <c r="L805" i="7"/>
  <c r="O805" i="7" s="1"/>
  <c r="O806" i="7"/>
  <c r="P138" i="7"/>
  <c r="N184" i="7"/>
  <c r="P184" i="7" s="1"/>
  <c r="P186" i="7"/>
  <c r="N321" i="7"/>
  <c r="N317" i="7"/>
  <c r="N315" i="7" s="1"/>
  <c r="O634" i="7"/>
  <c r="L632" i="7"/>
  <c r="O632" i="7" s="1"/>
  <c r="L631" i="7"/>
  <c r="O631" i="7" s="1"/>
  <c r="K79" i="7"/>
  <c r="I77" i="7"/>
  <c r="N168" i="7"/>
  <c r="P170" i="7"/>
  <c r="I442" i="7"/>
  <c r="K442" i="7" s="1"/>
  <c r="K460" i="7"/>
  <c r="K559" i="7"/>
  <c r="J543" i="7"/>
  <c r="K111" i="7"/>
  <c r="P140" i="7"/>
  <c r="O170" i="7"/>
  <c r="I237" i="7"/>
  <c r="L283" i="7"/>
  <c r="O283" i="7" s="1"/>
  <c r="J592" i="7"/>
  <c r="K592" i="7" s="1"/>
  <c r="K593" i="7"/>
  <c r="O690" i="7"/>
  <c r="L687" i="7"/>
  <c r="O687" i="7" s="1"/>
  <c r="L688" i="7"/>
  <c r="O688" i="7" s="1"/>
  <c r="O479" i="7"/>
  <c r="L469" i="7"/>
  <c r="L477" i="7"/>
  <c r="O477" i="7" s="1"/>
  <c r="K576" i="7"/>
  <c r="N770" i="7"/>
  <c r="M805" i="7"/>
  <c r="P805" i="7" s="1"/>
  <c r="N419" i="7"/>
  <c r="N414" i="7" s="1"/>
  <c r="J327" i="7"/>
  <c r="K327" i="7" s="1"/>
  <c r="O449" i="7"/>
  <c r="L447" i="7"/>
  <c r="O447" i="7" s="1"/>
  <c r="K543" i="7"/>
  <c r="M685" i="7"/>
  <c r="P685" i="7" s="1"/>
  <c r="O353" i="7"/>
  <c r="L391" i="7"/>
  <c r="O391" i="7" s="1"/>
  <c r="O394" i="7"/>
  <c r="J537" i="7"/>
  <c r="J522" i="7" s="1"/>
  <c r="K539" i="7"/>
  <c r="L547" i="7"/>
  <c r="O547" i="7" s="1"/>
  <c r="O549" i="7"/>
  <c r="M786" i="7"/>
  <c r="P786" i="7" s="1"/>
  <c r="K675" i="7"/>
  <c r="I654" i="7"/>
  <c r="K654" i="7" s="1"/>
  <c r="K673" i="7"/>
  <c r="K669" i="7"/>
  <c r="K672" i="7"/>
  <c r="O686" i="7"/>
  <c r="O329" i="7"/>
  <c r="O346" i="7"/>
  <c r="K365" i="7"/>
  <c r="O390" i="7"/>
  <c r="O420" i="7"/>
  <c r="O445" i="7"/>
  <c r="P524" i="7"/>
  <c r="O630" i="7"/>
  <c r="P686" i="7"/>
  <c r="P787" i="7"/>
  <c r="L59" i="6"/>
  <c r="O59" i="6" s="1"/>
  <c r="N43" i="5"/>
  <c r="N41" i="5" s="1"/>
  <c r="M55" i="5"/>
  <c r="M53" i="5" s="1"/>
  <c r="K145" i="6"/>
  <c r="P168" i="6"/>
  <c r="P184" i="6"/>
  <c r="K381" i="6"/>
  <c r="L392" i="6"/>
  <c r="O392" i="6" s="1"/>
  <c r="L395" i="6"/>
  <c r="O395" i="6" s="1"/>
  <c r="L47" i="3"/>
  <c r="O47" i="3" s="1"/>
  <c r="N90" i="6"/>
  <c r="N88" i="6" s="1"/>
  <c r="P93" i="6"/>
  <c r="L167" i="6"/>
  <c r="L165" i="6" s="1"/>
  <c r="L229" i="6"/>
  <c r="M264" i="6"/>
  <c r="P264" i="6" s="1"/>
  <c r="P269" i="6"/>
  <c r="M280" i="6"/>
  <c r="P280" i="6" s="1"/>
  <c r="L421" i="6"/>
  <c r="O421" i="6" s="1"/>
  <c r="L639" i="6"/>
  <c r="O639" i="6" s="1"/>
  <c r="K649" i="6"/>
  <c r="J722" i="6"/>
  <c r="K722" i="6" s="1"/>
  <c r="L47" i="6"/>
  <c r="O47" i="6" s="1"/>
  <c r="L68" i="6"/>
  <c r="L66" i="6" s="1"/>
  <c r="L72" i="6"/>
  <c r="O72" i="6" s="1"/>
  <c r="L94" i="6"/>
  <c r="O94" i="6" s="1"/>
  <c r="N134" i="6"/>
  <c r="N132" i="6" s="1"/>
  <c r="K159" i="6"/>
  <c r="O170" i="6"/>
  <c r="N183" i="6"/>
  <c r="N181" i="6" s="1"/>
  <c r="O189" i="6"/>
  <c r="K204" i="6"/>
  <c r="K224" i="6"/>
  <c r="L230" i="6"/>
  <c r="I297" i="6"/>
  <c r="K297" i="6" s="1"/>
  <c r="K340" i="6"/>
  <c r="I364" i="6"/>
  <c r="K379" i="6"/>
  <c r="I314" i="6"/>
  <c r="K314" i="6" s="1"/>
  <c r="L404" i="6"/>
  <c r="O404" i="6" s="1"/>
  <c r="N404" i="6"/>
  <c r="N402" i="6" s="1"/>
  <c r="J537" i="6"/>
  <c r="J522" i="6" s="1"/>
  <c r="N317" i="5"/>
  <c r="N315" i="5" s="1"/>
  <c r="L55" i="6"/>
  <c r="L90" i="6"/>
  <c r="O173" i="6"/>
  <c r="P306" i="6"/>
  <c r="N347" i="6"/>
  <c r="N345" i="6" s="1"/>
  <c r="L454" i="6"/>
  <c r="O454" i="6" s="1"/>
  <c r="K651" i="6"/>
  <c r="K823" i="6"/>
  <c r="K826" i="6"/>
  <c r="O44" i="6"/>
  <c r="O323" i="5"/>
  <c r="L321" i="5"/>
  <c r="O321" i="5" s="1"/>
  <c r="O456" i="5"/>
  <c r="L454" i="5"/>
  <c r="O454" i="5" s="1"/>
  <c r="M72" i="6"/>
  <c r="P72" i="6" s="1"/>
  <c r="P74" i="6"/>
  <c r="K288" i="6"/>
  <c r="J275" i="6"/>
  <c r="K365" i="5"/>
  <c r="I364" i="5"/>
  <c r="N301" i="6"/>
  <c r="P301" i="6" s="1"/>
  <c r="P350" i="5"/>
  <c r="K379" i="5"/>
  <c r="O127" i="6"/>
  <c r="N138" i="6"/>
  <c r="P138" i="6" s="1"/>
  <c r="N167" i="6"/>
  <c r="N165" i="6" s="1"/>
  <c r="P189" i="6"/>
  <c r="K255" i="6"/>
  <c r="M263" i="6"/>
  <c r="M261" i="6" s="1"/>
  <c r="L283" i="6"/>
  <c r="O283" i="6" s="1"/>
  <c r="M300" i="6"/>
  <c r="O303" i="6"/>
  <c r="O323" i="6"/>
  <c r="N331" i="6"/>
  <c r="O331" i="6" s="1"/>
  <c r="M334" i="6"/>
  <c r="P334" i="6" s="1"/>
  <c r="N351" i="6"/>
  <c r="O351" i="6" s="1"/>
  <c r="K360" i="6"/>
  <c r="K369" i="6"/>
  <c r="J374" i="6"/>
  <c r="K374" i="6" s="1"/>
  <c r="M404" i="6"/>
  <c r="J433" i="6"/>
  <c r="J417" i="6" s="1"/>
  <c r="K673" i="6"/>
  <c r="K720" i="6"/>
  <c r="K723" i="6"/>
  <c r="K822" i="6"/>
  <c r="K825" i="6"/>
  <c r="K828" i="6"/>
  <c r="L122" i="5"/>
  <c r="O122" i="5" s="1"/>
  <c r="I216" i="5"/>
  <c r="K216" i="5" s="1"/>
  <c r="M90" i="6"/>
  <c r="M94" i="6"/>
  <c r="P94" i="6" s="1"/>
  <c r="M134" i="6"/>
  <c r="M132" i="6" s="1"/>
  <c r="J143" i="6"/>
  <c r="L183" i="6"/>
  <c r="L181" i="6" s="1"/>
  <c r="L264" i="6"/>
  <c r="O264" i="6" s="1"/>
  <c r="M283" i="6"/>
  <c r="P283" i="6" s="1"/>
  <c r="P285" i="6"/>
  <c r="N300" i="6"/>
  <c r="N298" i="6" s="1"/>
  <c r="K365" i="6"/>
  <c r="N391" i="6"/>
  <c r="N389" i="6" s="1"/>
  <c r="I628" i="6"/>
  <c r="K628" i="6" s="1"/>
  <c r="N26" i="6"/>
  <c r="N16" i="6" s="1"/>
  <c r="N14" i="6" s="1"/>
  <c r="K86" i="6"/>
  <c r="M121" i="6"/>
  <c r="P121" i="6" s="1"/>
  <c r="N317" i="6"/>
  <c r="N315" i="6" s="1"/>
  <c r="I433" i="6"/>
  <c r="I417" i="6" s="1"/>
  <c r="I443" i="6"/>
  <c r="K443" i="6" s="1"/>
  <c r="M167" i="6"/>
  <c r="M165" i="6" s="1"/>
  <c r="L446" i="5"/>
  <c r="O446" i="5" s="1"/>
  <c r="L43" i="6"/>
  <c r="L41" i="6" s="1"/>
  <c r="M68" i="6"/>
  <c r="M66" i="6" s="1"/>
  <c r="P135" i="6"/>
  <c r="O140" i="6"/>
  <c r="L267" i="6"/>
  <c r="O267" i="6" s="1"/>
  <c r="J327" i="6"/>
  <c r="K327" i="6" s="1"/>
  <c r="O333" i="6"/>
  <c r="O353" i="6"/>
  <c r="K370" i="6"/>
  <c r="I434" i="6"/>
  <c r="I216" i="4"/>
  <c r="K216" i="4" s="1"/>
  <c r="K700" i="4"/>
  <c r="M279" i="5"/>
  <c r="M277" i="5" s="1"/>
  <c r="M283" i="5"/>
  <c r="P283" i="5" s="1"/>
  <c r="K340" i="5"/>
  <c r="N391" i="5"/>
  <c r="N389" i="5" s="1"/>
  <c r="O557" i="5"/>
  <c r="O46" i="6"/>
  <c r="N56" i="6"/>
  <c r="O56" i="6" s="1"/>
  <c r="P71" i="6"/>
  <c r="P140" i="6"/>
  <c r="N151" i="6"/>
  <c r="P173" i="6"/>
  <c r="M348" i="6"/>
  <c r="P348" i="6" s="1"/>
  <c r="K362" i="6"/>
  <c r="K378" i="6"/>
  <c r="K460" i="6"/>
  <c r="L655" i="6"/>
  <c r="O655" i="6" s="1"/>
  <c r="K803" i="6"/>
  <c r="K821" i="6"/>
  <c r="K824" i="6"/>
  <c r="K827" i="6"/>
  <c r="N9" i="6"/>
  <c r="P32" i="6"/>
  <c r="M29" i="6"/>
  <c r="O806" i="6"/>
  <c r="L805" i="6"/>
  <c r="O805" i="6" s="1"/>
  <c r="N330" i="3"/>
  <c r="N328" i="3" s="1"/>
  <c r="N90" i="5"/>
  <c r="N88" i="5" s="1"/>
  <c r="L155" i="5"/>
  <c r="O155" i="5" s="1"/>
  <c r="N183" i="5"/>
  <c r="K244" i="5"/>
  <c r="L429" i="5"/>
  <c r="O429" i="5" s="1"/>
  <c r="L91" i="6"/>
  <c r="O91" i="6" s="1"/>
  <c r="P133" i="6"/>
  <c r="I237" i="6"/>
  <c r="K244" i="6"/>
  <c r="M44" i="6"/>
  <c r="P44" i="6" s="1"/>
  <c r="M43" i="6"/>
  <c r="M23" i="6"/>
  <c r="I297" i="4"/>
  <c r="K297" i="4" s="1"/>
  <c r="N55" i="5"/>
  <c r="N53" i="5" s="1"/>
  <c r="L69" i="5"/>
  <c r="O69" i="5" s="1"/>
  <c r="M122" i="5"/>
  <c r="P122" i="5" s="1"/>
  <c r="L125" i="5"/>
  <c r="O125" i="5" s="1"/>
  <c r="K146" i="5"/>
  <c r="M155" i="5"/>
  <c r="P155" i="5" s="1"/>
  <c r="M348" i="5"/>
  <c r="P348" i="5" s="1"/>
  <c r="K378" i="5"/>
  <c r="L23" i="6"/>
  <c r="L21" i="6" s="1"/>
  <c r="P25" i="6"/>
  <c r="M15" i="6"/>
  <c r="P46" i="6"/>
  <c r="L138" i="6"/>
  <c r="O182" i="6"/>
  <c r="P394" i="6"/>
  <c r="M392" i="6"/>
  <c r="P392" i="6" s="1"/>
  <c r="M391" i="6"/>
  <c r="M72" i="4"/>
  <c r="P72" i="4" s="1"/>
  <c r="L47" i="5"/>
  <c r="O47" i="5" s="1"/>
  <c r="M69" i="5"/>
  <c r="P69" i="5" s="1"/>
  <c r="M72" i="5"/>
  <c r="P72" i="5" s="1"/>
  <c r="O350" i="5"/>
  <c r="P353" i="5"/>
  <c r="M392" i="5"/>
  <c r="P392" i="5" s="1"/>
  <c r="L405" i="5"/>
  <c r="O405" i="5" s="1"/>
  <c r="K649" i="5"/>
  <c r="J721" i="5"/>
  <c r="K821" i="5"/>
  <c r="K824" i="5"/>
  <c r="K827" i="5"/>
  <c r="M12" i="6"/>
  <c r="M31" i="6"/>
  <c r="P31" i="6" s="1"/>
  <c r="M47" i="6"/>
  <c r="P47" i="6" s="1"/>
  <c r="M26" i="6"/>
  <c r="P49" i="6"/>
  <c r="I77" i="6"/>
  <c r="K79" i="6"/>
  <c r="P89" i="6"/>
  <c r="O93" i="6"/>
  <c r="K99" i="6"/>
  <c r="I87" i="6"/>
  <c r="K87" i="6" s="1"/>
  <c r="N121" i="6"/>
  <c r="N119" i="6" s="1"/>
  <c r="L155" i="6"/>
  <c r="O155" i="6" s="1"/>
  <c r="O166" i="6"/>
  <c r="K164" i="6"/>
  <c r="O186" i="6"/>
  <c r="L249" i="6"/>
  <c r="O249" i="6" s="1"/>
  <c r="J364" i="5"/>
  <c r="L238" i="6"/>
  <c r="L231" i="6"/>
  <c r="K651" i="4"/>
  <c r="M47" i="5"/>
  <c r="P47" i="5" s="1"/>
  <c r="L134" i="5"/>
  <c r="L132" i="5" s="1"/>
  <c r="O137" i="5"/>
  <c r="O140" i="5"/>
  <c r="I233" i="5"/>
  <c r="K233" i="5" s="1"/>
  <c r="P351" i="5"/>
  <c r="L408" i="5"/>
  <c r="O408" i="5" s="1"/>
  <c r="L546" i="5"/>
  <c r="O546" i="5" s="1"/>
  <c r="L26" i="6"/>
  <c r="N29" i="6"/>
  <c r="N28" i="6" s="1"/>
  <c r="P58" i="6"/>
  <c r="M55" i="6"/>
  <c r="P120" i="6"/>
  <c r="L134" i="6"/>
  <c r="P333" i="6"/>
  <c r="M330" i="6"/>
  <c r="M331" i="6"/>
  <c r="P353" i="6"/>
  <c r="M347" i="6"/>
  <c r="M351" i="6"/>
  <c r="O390" i="6"/>
  <c r="N470" i="6"/>
  <c r="O470" i="6" s="1"/>
  <c r="O472" i="6"/>
  <c r="N469" i="6"/>
  <c r="N467" i="6" s="1"/>
  <c r="L138" i="4"/>
  <c r="O138" i="4" s="1"/>
  <c r="P303" i="4"/>
  <c r="P351" i="4"/>
  <c r="M151" i="5"/>
  <c r="M149" i="5" s="1"/>
  <c r="K385" i="5"/>
  <c r="O397" i="5"/>
  <c r="M56" i="6"/>
  <c r="O71" i="6"/>
  <c r="N68" i="6"/>
  <c r="N69" i="6"/>
  <c r="I76" i="6"/>
  <c r="K146" i="6"/>
  <c r="O154" i="6"/>
  <c r="L151" i="6"/>
  <c r="I233" i="6"/>
  <c r="K233" i="6" s="1"/>
  <c r="P524" i="6"/>
  <c r="M523" i="6"/>
  <c r="P523" i="6" s="1"/>
  <c r="L9" i="6"/>
  <c r="L15" i="6"/>
  <c r="L29" i="6"/>
  <c r="M30" i="6"/>
  <c r="P30" i="6" s="1"/>
  <c r="I112" i="6"/>
  <c r="K112" i="6" s="1"/>
  <c r="P170" i="6"/>
  <c r="P186" i="6"/>
  <c r="M321" i="6"/>
  <c r="P321" i="6" s="1"/>
  <c r="P323" i="6"/>
  <c r="L477" i="6"/>
  <c r="O477" i="6" s="1"/>
  <c r="L469" i="6"/>
  <c r="O479" i="6"/>
  <c r="O503" i="6"/>
  <c r="L502" i="6"/>
  <c r="O502" i="6" s="1"/>
  <c r="N23" i="6"/>
  <c r="N21" i="6" s="1"/>
  <c r="N43" i="6"/>
  <c r="K115" i="6"/>
  <c r="P137" i="6"/>
  <c r="K174" i="6"/>
  <c r="N263" i="6"/>
  <c r="O282" i="6"/>
  <c r="L280" i="6"/>
  <c r="O280" i="6" s="1"/>
  <c r="L334" i="6"/>
  <c r="O334" i="6" s="1"/>
  <c r="K355" i="6"/>
  <c r="M395" i="6"/>
  <c r="P395" i="6" s="1"/>
  <c r="O424" i="6"/>
  <c r="L422" i="6"/>
  <c r="O422" i="6" s="1"/>
  <c r="O316" i="6"/>
  <c r="M318" i="6"/>
  <c r="P318" i="6" s="1"/>
  <c r="P320" i="6"/>
  <c r="M317" i="6"/>
  <c r="P317" i="6" s="1"/>
  <c r="O350" i="6"/>
  <c r="L348" i="6"/>
  <c r="O348" i="6" s="1"/>
  <c r="L391" i="6"/>
  <c r="O391" i="6" s="1"/>
  <c r="P421" i="6"/>
  <c r="M419" i="6"/>
  <c r="O58" i="6"/>
  <c r="K98" i="6"/>
  <c r="L198" i="6"/>
  <c r="O198" i="6" s="1"/>
  <c r="O346" i="6"/>
  <c r="O431" i="6"/>
  <c r="L429" i="6"/>
  <c r="O429" i="6" s="1"/>
  <c r="O449" i="6"/>
  <c r="L447" i="6"/>
  <c r="L446" i="6"/>
  <c r="L444" i="6" s="1"/>
  <c r="O329" i="6"/>
  <c r="O420" i="6"/>
  <c r="M502" i="6"/>
  <c r="P502" i="6" s="1"/>
  <c r="N523" i="6"/>
  <c r="I522" i="6"/>
  <c r="K522" i="6" s="1"/>
  <c r="K537" i="6"/>
  <c r="K569" i="6"/>
  <c r="M655" i="6"/>
  <c r="P655" i="6" s="1"/>
  <c r="O547" i="6"/>
  <c r="O549" i="6"/>
  <c r="N546" i="6"/>
  <c r="N547" i="6"/>
  <c r="L687" i="6"/>
  <c r="N687" i="6"/>
  <c r="N685" i="6" s="1"/>
  <c r="N688" i="6"/>
  <c r="N446" i="6"/>
  <c r="N444" i="6" s="1"/>
  <c r="N447" i="6"/>
  <c r="N655" i="6"/>
  <c r="L632" i="6"/>
  <c r="O632" i="6" s="1"/>
  <c r="N631" i="6"/>
  <c r="N629" i="6" s="1"/>
  <c r="N632" i="6"/>
  <c r="K675" i="6"/>
  <c r="I654" i="6"/>
  <c r="K654" i="6" s="1"/>
  <c r="K674" i="6"/>
  <c r="K672" i="6"/>
  <c r="L789" i="6"/>
  <c r="O789" i="6" s="1"/>
  <c r="N740" i="6"/>
  <c r="N757" i="6"/>
  <c r="N773" i="6"/>
  <c r="M805" i="6"/>
  <c r="P805" i="6" s="1"/>
  <c r="L533" i="6"/>
  <c r="O533" i="6" s="1"/>
  <c r="L737" i="6"/>
  <c r="O737" i="6" s="1"/>
  <c r="L754" i="6"/>
  <c r="O754" i="6" s="1"/>
  <c r="L770" i="6"/>
  <c r="O770" i="6" s="1"/>
  <c r="M754" i="6"/>
  <c r="P754" i="6" s="1"/>
  <c r="M770" i="6"/>
  <c r="P770" i="6" s="1"/>
  <c r="I443" i="4"/>
  <c r="K443" i="4" s="1"/>
  <c r="N26" i="5"/>
  <c r="N16" i="5" s="1"/>
  <c r="N59" i="5"/>
  <c r="P59" i="5" s="1"/>
  <c r="L72" i="5"/>
  <c r="O72" i="5" s="1"/>
  <c r="N91" i="5"/>
  <c r="P91" i="5" s="1"/>
  <c r="L94" i="5"/>
  <c r="O94" i="5" s="1"/>
  <c r="P168" i="5"/>
  <c r="L228" i="5"/>
  <c r="M267" i="5"/>
  <c r="P267" i="5" s="1"/>
  <c r="M321" i="5"/>
  <c r="P321" i="5" s="1"/>
  <c r="K355" i="5"/>
  <c r="L657" i="5"/>
  <c r="O657" i="5" s="1"/>
  <c r="J722" i="5"/>
  <c r="N263" i="5"/>
  <c r="N261" i="5" s="1"/>
  <c r="L36" i="5"/>
  <c r="O36" i="5" s="1"/>
  <c r="O46" i="5"/>
  <c r="M94" i="5"/>
  <c r="P94" i="5" s="1"/>
  <c r="L151" i="5"/>
  <c r="L149" i="5" s="1"/>
  <c r="L198" i="5"/>
  <c r="O198" i="5" s="1"/>
  <c r="O280" i="5"/>
  <c r="K360" i="5"/>
  <c r="K435" i="5"/>
  <c r="K462" i="5"/>
  <c r="I559" i="5"/>
  <c r="K559" i="5" s="1"/>
  <c r="K647" i="5"/>
  <c r="J785" i="4"/>
  <c r="P46" i="5"/>
  <c r="K130" i="5"/>
  <c r="I275" i="5"/>
  <c r="K369" i="5"/>
  <c r="O93" i="5"/>
  <c r="O170" i="5"/>
  <c r="L217" i="5"/>
  <c r="O217" i="5" s="1"/>
  <c r="K378" i="4"/>
  <c r="K801" i="4"/>
  <c r="P93" i="5"/>
  <c r="M121" i="5"/>
  <c r="P121" i="5" s="1"/>
  <c r="N138" i="5"/>
  <c r="O138" i="5" s="1"/>
  <c r="P170" i="5"/>
  <c r="M184" i="5"/>
  <c r="M187" i="5"/>
  <c r="P187" i="5" s="1"/>
  <c r="M263" i="5"/>
  <c r="M317" i="5"/>
  <c r="P317" i="5" s="1"/>
  <c r="K370" i="5"/>
  <c r="L526" i="5"/>
  <c r="O526" i="5" s="1"/>
  <c r="K674" i="5"/>
  <c r="N404" i="4"/>
  <c r="N402" i="4" s="1"/>
  <c r="L68" i="5"/>
  <c r="L90" i="5"/>
  <c r="N135" i="5"/>
  <c r="O135" i="5" s="1"/>
  <c r="O152" i="5"/>
  <c r="N184" i="5"/>
  <c r="O184" i="5" s="1"/>
  <c r="P186" i="5"/>
  <c r="L209" i="5"/>
  <c r="O209" i="5" s="1"/>
  <c r="O282" i="5"/>
  <c r="L300" i="5"/>
  <c r="L298" i="5" s="1"/>
  <c r="L347" i="5"/>
  <c r="K359" i="5"/>
  <c r="K374" i="5"/>
  <c r="N404" i="5"/>
  <c r="N402" i="5" s="1"/>
  <c r="K628" i="5"/>
  <c r="M43" i="4"/>
  <c r="M41" i="4" s="1"/>
  <c r="M47" i="4"/>
  <c r="P47" i="4" s="1"/>
  <c r="K99" i="4"/>
  <c r="M138" i="4"/>
  <c r="P138" i="4" s="1"/>
  <c r="M167" i="4"/>
  <c r="M165" i="4" s="1"/>
  <c r="O282" i="4"/>
  <c r="M301" i="4"/>
  <c r="P301" i="4" s="1"/>
  <c r="L688" i="4"/>
  <c r="M68" i="5"/>
  <c r="M90" i="5"/>
  <c r="K99" i="5"/>
  <c r="M152" i="5"/>
  <c r="P152" i="5" s="1"/>
  <c r="L168" i="5"/>
  <c r="O168" i="5" s="1"/>
  <c r="L263" i="5"/>
  <c r="P282" i="5"/>
  <c r="M300" i="5"/>
  <c r="M298" i="5" s="1"/>
  <c r="P407" i="5"/>
  <c r="L91" i="5"/>
  <c r="L267" i="5"/>
  <c r="O267" i="5" s="1"/>
  <c r="L231" i="4"/>
  <c r="P269" i="4"/>
  <c r="O44" i="5"/>
  <c r="N68" i="5"/>
  <c r="N66" i="5" s="1"/>
  <c r="N121" i="5"/>
  <c r="N119" i="5" s="1"/>
  <c r="M125" i="5"/>
  <c r="P125" i="5" s="1"/>
  <c r="I190" i="5"/>
  <c r="K190" i="5" s="1"/>
  <c r="M318" i="5"/>
  <c r="P318" i="5" s="1"/>
  <c r="O353" i="5"/>
  <c r="K822" i="5"/>
  <c r="K828" i="5"/>
  <c r="L134" i="4"/>
  <c r="O134" i="4" s="1"/>
  <c r="N330" i="4"/>
  <c r="N328" i="4" s="1"/>
  <c r="L43" i="5"/>
  <c r="M44" i="5"/>
  <c r="P44" i="5" s="1"/>
  <c r="O186" i="5"/>
  <c r="O264" i="5"/>
  <c r="O336" i="5"/>
  <c r="L404" i="5"/>
  <c r="O404" i="5" s="1"/>
  <c r="I434" i="5"/>
  <c r="I418" i="5" s="1"/>
  <c r="K418" i="5" s="1"/>
  <c r="K460" i="5"/>
  <c r="N279" i="5"/>
  <c r="K824" i="4"/>
  <c r="M43" i="5"/>
  <c r="O266" i="5"/>
  <c r="O285" i="5"/>
  <c r="M404" i="5"/>
  <c r="P404" i="5" s="1"/>
  <c r="O641" i="5"/>
  <c r="L788" i="5"/>
  <c r="O788" i="5" s="1"/>
  <c r="K823" i="5"/>
  <c r="O120" i="5"/>
  <c r="M151" i="4"/>
  <c r="M149" i="4" s="1"/>
  <c r="M155" i="4"/>
  <c r="P155" i="4" s="1"/>
  <c r="L209" i="4"/>
  <c r="O209" i="4" s="1"/>
  <c r="L228" i="4"/>
  <c r="N317" i="4"/>
  <c r="N315" i="4" s="1"/>
  <c r="P12" i="5"/>
  <c r="M9" i="5"/>
  <c r="O54" i="5"/>
  <c r="P58" i="5"/>
  <c r="M23" i="5"/>
  <c r="L59" i="5"/>
  <c r="L26" i="5"/>
  <c r="O61" i="5"/>
  <c r="N227" i="5"/>
  <c r="O329" i="5"/>
  <c r="N151" i="5"/>
  <c r="N149" i="5" s="1"/>
  <c r="P154" i="5"/>
  <c r="K248" i="5"/>
  <c r="I226" i="5"/>
  <c r="K226" i="5" s="1"/>
  <c r="O59" i="4"/>
  <c r="L135" i="4"/>
  <c r="O135" i="4" s="1"/>
  <c r="O157" i="4"/>
  <c r="L183" i="4"/>
  <c r="L181" i="4" s="1"/>
  <c r="I248" i="4"/>
  <c r="K248" i="4" s="1"/>
  <c r="L263" i="4"/>
  <c r="L261" i="4" s="1"/>
  <c r="K325" i="4"/>
  <c r="K340" i="4"/>
  <c r="M392" i="4"/>
  <c r="P392" i="4" s="1"/>
  <c r="O397" i="4"/>
  <c r="L408" i="4"/>
  <c r="O408" i="4" s="1"/>
  <c r="I628" i="4"/>
  <c r="K628" i="4" s="1"/>
  <c r="P32" i="5"/>
  <c r="M29" i="5"/>
  <c r="M56" i="5"/>
  <c r="P56" i="5" s="1"/>
  <c r="M26" i="5"/>
  <c r="P61" i="5"/>
  <c r="I77" i="5"/>
  <c r="K83" i="5"/>
  <c r="M138" i="5"/>
  <c r="P140" i="5"/>
  <c r="I148" i="5"/>
  <c r="K148" i="5" s="1"/>
  <c r="K174" i="5"/>
  <c r="I164" i="5"/>
  <c r="K164" i="5" s="1"/>
  <c r="O278" i="5"/>
  <c r="P280" i="5"/>
  <c r="L56" i="5"/>
  <c r="O56" i="5" s="1"/>
  <c r="O58" i="5"/>
  <c r="N504" i="5"/>
  <c r="N505" i="5"/>
  <c r="K372" i="3"/>
  <c r="P56" i="4"/>
  <c r="P61" i="4"/>
  <c r="K98" i="4"/>
  <c r="M135" i="4"/>
  <c r="P135" i="4" s="1"/>
  <c r="P170" i="4"/>
  <c r="I233" i="4"/>
  <c r="K233" i="4" s="1"/>
  <c r="P25" i="5"/>
  <c r="M15" i="5"/>
  <c r="N29" i="5"/>
  <c r="N31" i="5"/>
  <c r="O320" i="5"/>
  <c r="L317" i="5"/>
  <c r="L318" i="5"/>
  <c r="O318" i="5" s="1"/>
  <c r="N68" i="4"/>
  <c r="N66" i="4" s="1"/>
  <c r="K314" i="4"/>
  <c r="N15" i="5"/>
  <c r="I76" i="5"/>
  <c r="K80" i="5"/>
  <c r="J143" i="5"/>
  <c r="J131" i="5" s="1"/>
  <c r="K144" i="5"/>
  <c r="O262" i="5"/>
  <c r="I260" i="5"/>
  <c r="K260" i="5" s="1"/>
  <c r="K271" i="5"/>
  <c r="K288" i="5"/>
  <c r="J275" i="5"/>
  <c r="M330" i="5"/>
  <c r="P333" i="5"/>
  <c r="M331" i="5"/>
  <c r="P331" i="5" s="1"/>
  <c r="K437" i="5"/>
  <c r="J433" i="5"/>
  <c r="N55" i="4"/>
  <c r="N53" i="4" s="1"/>
  <c r="P58" i="4"/>
  <c r="M69" i="4"/>
  <c r="P69" i="4" s="1"/>
  <c r="M171" i="4"/>
  <c r="P171" i="4" s="1"/>
  <c r="N183" i="4"/>
  <c r="N181" i="4" s="1"/>
  <c r="P336" i="4"/>
  <c r="L23" i="5"/>
  <c r="N33" i="5"/>
  <c r="N30" i="5" s="1"/>
  <c r="L55" i="5"/>
  <c r="I112" i="5"/>
  <c r="K112" i="5" s="1"/>
  <c r="K116" i="5"/>
  <c r="I131" i="5"/>
  <c r="L171" i="5"/>
  <c r="O171" i="5" s="1"/>
  <c r="L187" i="5"/>
  <c r="O187" i="5" s="1"/>
  <c r="K204" i="5"/>
  <c r="I197" i="5"/>
  <c r="K197" i="5" s="1"/>
  <c r="L249" i="5"/>
  <c r="O249" i="5" s="1"/>
  <c r="L231" i="5"/>
  <c r="P264" i="5"/>
  <c r="N301" i="5"/>
  <c r="O301" i="5" s="1"/>
  <c r="O303" i="5"/>
  <c r="N300" i="5"/>
  <c r="L392" i="5"/>
  <c r="O392" i="5" s="1"/>
  <c r="L391" i="5"/>
  <c r="O391" i="5" s="1"/>
  <c r="L422" i="5"/>
  <c r="O422" i="5" s="1"/>
  <c r="O424" i="5"/>
  <c r="L421" i="5"/>
  <c r="O421" i="5" s="1"/>
  <c r="P788" i="5"/>
  <c r="M786" i="5"/>
  <c r="P786" i="5" s="1"/>
  <c r="I785" i="5"/>
  <c r="K785" i="5" s="1"/>
  <c r="K800" i="5"/>
  <c r="O806" i="5"/>
  <c r="L805" i="5"/>
  <c r="O805" i="5" s="1"/>
  <c r="L9" i="5"/>
  <c r="L15" i="5"/>
  <c r="L29" i="5"/>
  <c r="M30" i="5"/>
  <c r="P30" i="5" s="1"/>
  <c r="M134" i="5"/>
  <c r="L167" i="5"/>
  <c r="K176" i="5"/>
  <c r="L183" i="5"/>
  <c r="K255" i="5"/>
  <c r="K338" i="5"/>
  <c r="J327" i="5"/>
  <c r="K327" i="5" s="1"/>
  <c r="O403" i="5"/>
  <c r="K438" i="5"/>
  <c r="N502" i="5"/>
  <c r="I522" i="5"/>
  <c r="K522" i="5" s="1"/>
  <c r="K537" i="5"/>
  <c r="L632" i="5"/>
  <c r="O632" i="5" s="1"/>
  <c r="O634" i="5"/>
  <c r="L631" i="5"/>
  <c r="N23" i="5"/>
  <c r="K98" i="5"/>
  <c r="N134" i="5"/>
  <c r="K145" i="5"/>
  <c r="I208" i="5"/>
  <c r="K208" i="5" s="1"/>
  <c r="L230" i="5"/>
  <c r="P410" i="5"/>
  <c r="O479" i="5"/>
  <c r="K720" i="4"/>
  <c r="L33" i="5"/>
  <c r="P120" i="5"/>
  <c r="P137" i="5"/>
  <c r="O154" i="5"/>
  <c r="N167" i="5"/>
  <c r="L238" i="5"/>
  <c r="P266" i="5"/>
  <c r="L279" i="5"/>
  <c r="M391" i="5"/>
  <c r="O394" i="5"/>
  <c r="N422" i="5"/>
  <c r="K466" i="5"/>
  <c r="M544" i="5"/>
  <c r="P544" i="5" s="1"/>
  <c r="K577" i="5"/>
  <c r="L121" i="5"/>
  <c r="O121" i="5" s="1"/>
  <c r="P303" i="5"/>
  <c r="L331" i="5"/>
  <c r="O331" i="5" s="1"/>
  <c r="O333" i="5"/>
  <c r="N414" i="5"/>
  <c r="P687" i="5"/>
  <c r="M685" i="5"/>
  <c r="P685" i="5" s="1"/>
  <c r="P738" i="5"/>
  <c r="M737" i="5"/>
  <c r="P737" i="5" s="1"/>
  <c r="P771" i="5"/>
  <c r="M770" i="5"/>
  <c r="P770" i="5" s="1"/>
  <c r="O787" i="5"/>
  <c r="O351" i="5"/>
  <c r="K362" i="5"/>
  <c r="L447" i="5"/>
  <c r="O447" i="5" s="1"/>
  <c r="O449" i="5"/>
  <c r="L469" i="5"/>
  <c r="O504" i="5"/>
  <c r="L502" i="5"/>
  <c r="O502" i="5" s="1"/>
  <c r="P524" i="5"/>
  <c r="M523" i="5"/>
  <c r="N789" i="5"/>
  <c r="O348" i="5"/>
  <c r="K372" i="5"/>
  <c r="J592" i="5"/>
  <c r="K592" i="5" s="1"/>
  <c r="K593" i="5"/>
  <c r="O686" i="5"/>
  <c r="P755" i="5"/>
  <c r="M754" i="5"/>
  <c r="P754" i="5" s="1"/>
  <c r="P807" i="5"/>
  <c r="M805" i="5"/>
  <c r="P805" i="5" s="1"/>
  <c r="J537" i="5"/>
  <c r="J522" i="5" s="1"/>
  <c r="L547" i="5"/>
  <c r="O547" i="5" s="1"/>
  <c r="I654" i="5"/>
  <c r="K654" i="5" s="1"/>
  <c r="L658" i="5"/>
  <c r="O658" i="5" s="1"/>
  <c r="O791" i="5"/>
  <c r="L533" i="5"/>
  <c r="O533" i="5" s="1"/>
  <c r="K675" i="5"/>
  <c r="L525" i="5"/>
  <c r="K651" i="5"/>
  <c r="K672" i="5"/>
  <c r="L688" i="5"/>
  <c r="O688" i="5" s="1"/>
  <c r="K669" i="5"/>
  <c r="L687" i="5"/>
  <c r="O687" i="5" s="1"/>
  <c r="L533" i="3"/>
  <c r="O533" i="3" s="1"/>
  <c r="K204" i="3"/>
  <c r="I197" i="3"/>
  <c r="K197" i="3" s="1"/>
  <c r="L91" i="4"/>
  <c r="O91" i="4" s="1"/>
  <c r="L90" i="4"/>
  <c r="L88" i="4" s="1"/>
  <c r="J143" i="4"/>
  <c r="J131" i="4" s="1"/>
  <c r="K215" i="4"/>
  <c r="I208" i="4"/>
  <c r="K208" i="4" s="1"/>
  <c r="L230" i="4"/>
  <c r="K379" i="4"/>
  <c r="M408" i="4"/>
  <c r="P408" i="4" s="1"/>
  <c r="O535" i="4"/>
  <c r="O285" i="4"/>
  <c r="L283" i="4"/>
  <c r="O283" i="4" s="1"/>
  <c r="N134" i="4"/>
  <c r="N132" i="4" s="1"/>
  <c r="N135" i="4"/>
  <c r="K822" i="4"/>
  <c r="K828" i="4"/>
  <c r="L422" i="4"/>
  <c r="O424" i="4"/>
  <c r="K539" i="4"/>
  <c r="J537" i="4"/>
  <c r="J522" i="4" s="1"/>
  <c r="L68" i="3"/>
  <c r="L66" i="3" s="1"/>
  <c r="P44" i="4"/>
  <c r="K362" i="4"/>
  <c r="L631" i="4"/>
  <c r="O631" i="4" s="1"/>
  <c r="L657" i="4"/>
  <c r="L655" i="4" s="1"/>
  <c r="K673" i="4"/>
  <c r="N90" i="4"/>
  <c r="N88" i="4" s="1"/>
  <c r="M121" i="4"/>
  <c r="M119" i="4" s="1"/>
  <c r="P119" i="4" s="1"/>
  <c r="K145" i="4"/>
  <c r="K369" i="4"/>
  <c r="N26" i="4"/>
  <c r="N24" i="4" s="1"/>
  <c r="J364" i="4"/>
  <c r="I434" i="3"/>
  <c r="I418" i="3" s="1"/>
  <c r="K418" i="3" s="1"/>
  <c r="L446" i="3"/>
  <c r="L444" i="3" s="1"/>
  <c r="N47" i="4"/>
  <c r="M125" i="4"/>
  <c r="P125" i="4" s="1"/>
  <c r="O154" i="4"/>
  <c r="L279" i="4"/>
  <c r="L277" i="4" s="1"/>
  <c r="M122" i="4"/>
  <c r="P122" i="4" s="1"/>
  <c r="I131" i="4"/>
  <c r="K131" i="4" s="1"/>
  <c r="M134" i="4"/>
  <c r="P134" i="4" s="1"/>
  <c r="K159" i="4"/>
  <c r="L267" i="4"/>
  <c r="O267" i="4" s="1"/>
  <c r="O269" i="4"/>
  <c r="I276" i="4"/>
  <c r="K276" i="4" s="1"/>
  <c r="K440" i="4"/>
  <c r="I434" i="4"/>
  <c r="O154" i="3"/>
  <c r="M304" i="3"/>
  <c r="P304" i="3" s="1"/>
  <c r="O306" i="3"/>
  <c r="L470" i="3"/>
  <c r="O470" i="3" s="1"/>
  <c r="L55" i="4"/>
  <c r="L53" i="4" s="1"/>
  <c r="M59" i="4"/>
  <c r="P59" i="4" s="1"/>
  <c r="N69" i="4"/>
  <c r="P124" i="4"/>
  <c r="N279" i="4"/>
  <c r="N277" i="4" s="1"/>
  <c r="P282" i="4"/>
  <c r="M300" i="4"/>
  <c r="M298" i="4" s="1"/>
  <c r="L304" i="4"/>
  <c r="O304" i="4" s="1"/>
  <c r="O306" i="4"/>
  <c r="P331" i="4"/>
  <c r="N347" i="4"/>
  <c r="N345" i="4" s="1"/>
  <c r="P350" i="4"/>
  <c r="K355" i="4"/>
  <c r="L555" i="4"/>
  <c r="O555" i="4" s="1"/>
  <c r="O557" i="4"/>
  <c r="L789" i="4"/>
  <c r="O789" i="4" s="1"/>
  <c r="L788" i="4"/>
  <c r="O788" i="4" s="1"/>
  <c r="M55" i="4"/>
  <c r="L421" i="3"/>
  <c r="O421" i="3" s="1"/>
  <c r="N43" i="4"/>
  <c r="N41" i="4" s="1"/>
  <c r="O74" i="4"/>
  <c r="I112" i="4"/>
  <c r="K112" i="4" s="1"/>
  <c r="P186" i="4"/>
  <c r="M184" i="4"/>
  <c r="P184" i="4" s="1"/>
  <c r="N280" i="4"/>
  <c r="O280" i="4" s="1"/>
  <c r="I559" i="4"/>
  <c r="I785" i="4"/>
  <c r="K803" i="4"/>
  <c r="N121" i="3"/>
  <c r="N119" i="3" s="1"/>
  <c r="I237" i="3"/>
  <c r="K237" i="3" s="1"/>
  <c r="L230" i="3"/>
  <c r="P350" i="3"/>
  <c r="K381" i="3"/>
  <c r="J721" i="3"/>
  <c r="M68" i="4"/>
  <c r="L151" i="4"/>
  <c r="L149" i="4" s="1"/>
  <c r="O149" i="4" s="1"/>
  <c r="M263" i="4"/>
  <c r="M261" i="4" s="1"/>
  <c r="M304" i="4"/>
  <c r="P304" i="4" s="1"/>
  <c r="N318" i="4"/>
  <c r="P318" i="4" s="1"/>
  <c r="M321" i="4"/>
  <c r="P321" i="4" s="1"/>
  <c r="K370" i="4"/>
  <c r="O407" i="4"/>
  <c r="L405" i="4"/>
  <c r="O405" i="4" s="1"/>
  <c r="L639" i="4"/>
  <c r="O639" i="4" s="1"/>
  <c r="O641" i="4"/>
  <c r="K649" i="4"/>
  <c r="N23" i="4"/>
  <c r="N21" i="4" s="1"/>
  <c r="O58" i="4"/>
  <c r="P91" i="4"/>
  <c r="P397" i="4"/>
  <c r="M391" i="4"/>
  <c r="P391" i="4" s="1"/>
  <c r="N167" i="4"/>
  <c r="N165" i="4" s="1"/>
  <c r="L217" i="4"/>
  <c r="O217" i="4" s="1"/>
  <c r="O333" i="4"/>
  <c r="K593" i="4"/>
  <c r="K374" i="4"/>
  <c r="K647" i="4"/>
  <c r="J721" i="4"/>
  <c r="L229" i="4"/>
  <c r="M317" i="4"/>
  <c r="O350" i="4"/>
  <c r="K372" i="4"/>
  <c r="K385" i="4"/>
  <c r="L525" i="4"/>
  <c r="K672" i="4"/>
  <c r="K592" i="4"/>
  <c r="J722" i="4"/>
  <c r="K823" i="4"/>
  <c r="K826" i="4"/>
  <c r="I76" i="4"/>
  <c r="K80" i="4"/>
  <c r="L168" i="4"/>
  <c r="O168" i="4" s="1"/>
  <c r="O170" i="4"/>
  <c r="K255" i="3"/>
  <c r="I248" i="3"/>
  <c r="K248" i="3" s="1"/>
  <c r="M187" i="4"/>
  <c r="P187" i="4" s="1"/>
  <c r="L446" i="4"/>
  <c r="L444" i="4" s="1"/>
  <c r="L447" i="4"/>
  <c r="L33" i="4"/>
  <c r="O549" i="4"/>
  <c r="N546" i="4"/>
  <c r="N544" i="4" s="1"/>
  <c r="N547" i="4"/>
  <c r="I76" i="3"/>
  <c r="I64" i="3" s="1"/>
  <c r="K64" i="3" s="1"/>
  <c r="M23" i="4"/>
  <c r="M21" i="4" s="1"/>
  <c r="P93" i="4"/>
  <c r="L122" i="4"/>
  <c r="O122" i="4" s="1"/>
  <c r="L121" i="4"/>
  <c r="N125" i="4"/>
  <c r="N121" i="4"/>
  <c r="N119" i="4" s="1"/>
  <c r="I174" i="4"/>
  <c r="K176" i="4"/>
  <c r="L351" i="4"/>
  <c r="O351" i="4" s="1"/>
  <c r="O353" i="4"/>
  <c r="L347" i="4"/>
  <c r="L345" i="4" s="1"/>
  <c r="O479" i="4"/>
  <c r="L36" i="4"/>
  <c r="L469" i="4"/>
  <c r="O469" i="4" s="1"/>
  <c r="J288" i="4"/>
  <c r="J275" i="4" s="1"/>
  <c r="I275" i="4"/>
  <c r="L231" i="3"/>
  <c r="P166" i="4"/>
  <c r="N788" i="4"/>
  <c r="N786" i="4" s="1"/>
  <c r="N789" i="4"/>
  <c r="I86" i="3"/>
  <c r="K86" i="3" s="1"/>
  <c r="K271" i="3"/>
  <c r="I260" i="3"/>
  <c r="K260" i="3" s="1"/>
  <c r="M318" i="3"/>
  <c r="P318" i="3" s="1"/>
  <c r="P320" i="3"/>
  <c r="P15" i="4"/>
  <c r="K379" i="3"/>
  <c r="M29" i="4"/>
  <c r="L68" i="4"/>
  <c r="O68" i="4" s="1"/>
  <c r="O71" i="4"/>
  <c r="O89" i="4"/>
  <c r="P96" i="4"/>
  <c r="P150" i="4"/>
  <c r="N152" i="4"/>
  <c r="P152" i="4" s="1"/>
  <c r="P154" i="4"/>
  <c r="N151" i="4"/>
  <c r="L171" i="4"/>
  <c r="O171" i="4" s="1"/>
  <c r="O173" i="4"/>
  <c r="N304" i="4"/>
  <c r="N300" i="4"/>
  <c r="J327" i="4"/>
  <c r="K327" i="4" s="1"/>
  <c r="K338" i="4"/>
  <c r="O470" i="4"/>
  <c r="L477" i="4"/>
  <c r="O477" i="4" s="1"/>
  <c r="K287" i="3"/>
  <c r="I276" i="3"/>
  <c r="K276" i="3" s="1"/>
  <c r="M19" i="4"/>
  <c r="I197" i="4"/>
  <c r="K197" i="4" s="1"/>
  <c r="K204" i="4"/>
  <c r="N347" i="3"/>
  <c r="N345" i="3" s="1"/>
  <c r="L44" i="4"/>
  <c r="O44" i="4" s="1"/>
  <c r="L23" i="4"/>
  <c r="K80" i="3"/>
  <c r="P46" i="3"/>
  <c r="O91" i="3"/>
  <c r="O186" i="3"/>
  <c r="L321" i="3"/>
  <c r="O321" i="3" s="1"/>
  <c r="P25" i="4"/>
  <c r="N34" i="4"/>
  <c r="L43" i="4"/>
  <c r="O46" i="4"/>
  <c r="L47" i="4"/>
  <c r="O47" i="4" s="1"/>
  <c r="L26" i="4"/>
  <c r="I130" i="4"/>
  <c r="K130" i="4" s="1"/>
  <c r="K146" i="4"/>
  <c r="L167" i="4"/>
  <c r="M183" i="4"/>
  <c r="M181" i="4" s="1"/>
  <c r="M280" i="4"/>
  <c r="M279" i="4"/>
  <c r="L301" i="4"/>
  <c r="O301" i="4" s="1"/>
  <c r="O303" i="4"/>
  <c r="L300" i="4"/>
  <c r="P316" i="4"/>
  <c r="M12" i="4"/>
  <c r="L318" i="4"/>
  <c r="O320" i="4"/>
  <c r="L317" i="4"/>
  <c r="N43" i="3"/>
  <c r="N41" i="3" s="1"/>
  <c r="P186" i="3"/>
  <c r="I233" i="3"/>
  <c r="K233" i="3" s="1"/>
  <c r="O56" i="4"/>
  <c r="O61" i="4"/>
  <c r="M90" i="4"/>
  <c r="O124" i="4"/>
  <c r="O137" i="4"/>
  <c r="L238" i="4"/>
  <c r="L249" i="4"/>
  <c r="O249" i="4" s="1"/>
  <c r="P262" i="4"/>
  <c r="N264" i="4"/>
  <c r="P266" i="4"/>
  <c r="N263" i="4"/>
  <c r="O266" i="4"/>
  <c r="O133" i="4"/>
  <c r="L334" i="4"/>
  <c r="O334" i="4" s="1"/>
  <c r="O336" i="4"/>
  <c r="P390" i="4"/>
  <c r="N391" i="4"/>
  <c r="N389" i="4" s="1"/>
  <c r="N392" i="4"/>
  <c r="P407" i="4"/>
  <c r="M404" i="4"/>
  <c r="P404" i="4" s="1"/>
  <c r="P468" i="4"/>
  <c r="M467" i="4"/>
  <c r="P467" i="4" s="1"/>
  <c r="O687" i="4"/>
  <c r="L685" i="4"/>
  <c r="O685" i="4" s="1"/>
  <c r="N687" i="4"/>
  <c r="N685" i="4" s="1"/>
  <c r="N688" i="4"/>
  <c r="O690" i="4"/>
  <c r="N391" i="3"/>
  <c r="N389" i="3" s="1"/>
  <c r="J537" i="3"/>
  <c r="J522" i="3" s="1"/>
  <c r="K647" i="3"/>
  <c r="J722" i="3"/>
  <c r="L12" i="4"/>
  <c r="L19" i="4"/>
  <c r="M26" i="4"/>
  <c r="I77" i="4"/>
  <c r="O93" i="4"/>
  <c r="O96" i="4"/>
  <c r="P182" i="4"/>
  <c r="L184" i="4"/>
  <c r="O184" i="4" s="1"/>
  <c r="O186" i="4"/>
  <c r="O278" i="4"/>
  <c r="L330" i="4"/>
  <c r="M405" i="4"/>
  <c r="P405" i="4" s="1"/>
  <c r="N449" i="4"/>
  <c r="N470" i="4"/>
  <c r="M502" i="4"/>
  <c r="P502" i="4" s="1"/>
  <c r="P504" i="4"/>
  <c r="O771" i="4"/>
  <c r="L770" i="4"/>
  <c r="O770" i="4" s="1"/>
  <c r="P320" i="4"/>
  <c r="L321" i="4"/>
  <c r="O321" i="4" s="1"/>
  <c r="O323" i="4"/>
  <c r="O348" i="4"/>
  <c r="P353" i="4"/>
  <c r="N421" i="4"/>
  <c r="N419" i="4" s="1"/>
  <c r="N422" i="4"/>
  <c r="O264" i="3"/>
  <c r="K378" i="3"/>
  <c r="O424" i="3"/>
  <c r="N12" i="4"/>
  <c r="P46" i="4"/>
  <c r="O127" i="4"/>
  <c r="P168" i="4"/>
  <c r="K244" i="4"/>
  <c r="I237" i="4"/>
  <c r="P285" i="4"/>
  <c r="O331" i="4"/>
  <c r="M347" i="4"/>
  <c r="M348" i="4"/>
  <c r="P348" i="4" s="1"/>
  <c r="N300" i="3"/>
  <c r="N298" i="3" s="1"/>
  <c r="K338" i="3"/>
  <c r="J364" i="3"/>
  <c r="L408" i="3"/>
  <c r="O408" i="3" s="1"/>
  <c r="L187" i="4"/>
  <c r="O187" i="4" s="1"/>
  <c r="O189" i="4"/>
  <c r="L198" i="4"/>
  <c r="O198" i="4" s="1"/>
  <c r="P333" i="4"/>
  <c r="M330" i="4"/>
  <c r="P346" i="4"/>
  <c r="K360" i="4"/>
  <c r="L404" i="4"/>
  <c r="O404" i="4" s="1"/>
  <c r="M419" i="4"/>
  <c r="M444" i="4"/>
  <c r="P444" i="4" s="1"/>
  <c r="P739" i="4"/>
  <c r="M737" i="4"/>
  <c r="P737" i="4" s="1"/>
  <c r="I364" i="4"/>
  <c r="K381" i="4"/>
  <c r="L391" i="4"/>
  <c r="L421" i="4"/>
  <c r="O547" i="4"/>
  <c r="K620" i="4"/>
  <c r="O658" i="4"/>
  <c r="O738" i="4"/>
  <c r="L737" i="4"/>
  <c r="O737" i="4" s="1"/>
  <c r="N773" i="4"/>
  <c r="P806" i="4"/>
  <c r="M805" i="4"/>
  <c r="P805" i="4" s="1"/>
  <c r="K821" i="4"/>
  <c r="K827" i="4"/>
  <c r="P756" i="4"/>
  <c r="M754" i="4"/>
  <c r="P754" i="4" s="1"/>
  <c r="K365" i="4"/>
  <c r="O394" i="4"/>
  <c r="K435" i="4"/>
  <c r="J433" i="4"/>
  <c r="P445" i="4"/>
  <c r="L454" i="4"/>
  <c r="O454" i="4" s="1"/>
  <c r="O472" i="4"/>
  <c r="I522" i="4"/>
  <c r="K522" i="4" s="1"/>
  <c r="K537" i="4"/>
  <c r="K577" i="4"/>
  <c r="L632" i="4"/>
  <c r="O632" i="4" s="1"/>
  <c r="O660" i="4"/>
  <c r="N657" i="4"/>
  <c r="N658" i="4"/>
  <c r="K669" i="4"/>
  <c r="N740" i="4"/>
  <c r="O755" i="4"/>
  <c r="L754" i="4"/>
  <c r="O754" i="4" s="1"/>
  <c r="O791" i="4"/>
  <c r="K825" i="4"/>
  <c r="K569" i="4"/>
  <c r="P772" i="4"/>
  <c r="M770" i="4"/>
  <c r="P770" i="4" s="1"/>
  <c r="L546" i="4"/>
  <c r="I654" i="4"/>
  <c r="K654" i="4" s="1"/>
  <c r="K674" i="4"/>
  <c r="I148" i="3"/>
  <c r="K148" i="3" s="1"/>
  <c r="K176" i="3"/>
  <c r="N304" i="3"/>
  <c r="N331" i="3"/>
  <c r="O331" i="3" s="1"/>
  <c r="L36" i="3"/>
  <c r="O36" i="3" s="1"/>
  <c r="N55" i="3"/>
  <c r="N53" i="3" s="1"/>
  <c r="P61" i="3"/>
  <c r="N68" i="3"/>
  <c r="N66" i="3" s="1"/>
  <c r="N122" i="3"/>
  <c r="L125" i="3"/>
  <c r="O125" i="3" s="1"/>
  <c r="M183" i="3"/>
  <c r="M181" i="3" s="1"/>
  <c r="O282" i="3"/>
  <c r="I314" i="3"/>
  <c r="K314" i="3" s="1"/>
  <c r="N392" i="3"/>
  <c r="K649" i="3"/>
  <c r="K674" i="3"/>
  <c r="K370" i="3"/>
  <c r="N56" i="3"/>
  <c r="O56" i="3" s="1"/>
  <c r="M184" i="3"/>
  <c r="P184" i="3" s="1"/>
  <c r="L187" i="3"/>
  <c r="O187" i="3" s="1"/>
  <c r="O303" i="3"/>
  <c r="K359" i="3"/>
  <c r="K362" i="3"/>
  <c r="I443" i="3"/>
  <c r="K443" i="3" s="1"/>
  <c r="K822" i="3"/>
  <c r="K825" i="3"/>
  <c r="K828" i="3"/>
  <c r="N47" i="3"/>
  <c r="N134" i="3"/>
  <c r="N132" i="3" s="1"/>
  <c r="N279" i="3"/>
  <c r="N277" i="3" s="1"/>
  <c r="O348" i="3"/>
  <c r="N404" i="3"/>
  <c r="N402" i="3" s="1"/>
  <c r="L546" i="3"/>
  <c r="O546" i="3" s="1"/>
  <c r="K823" i="3"/>
  <c r="K826" i="3"/>
  <c r="L228" i="3"/>
  <c r="L249" i="3"/>
  <c r="O249" i="3" s="1"/>
  <c r="M408" i="3"/>
  <c r="P408" i="3" s="1"/>
  <c r="O58" i="3"/>
  <c r="P71" i="3"/>
  <c r="I112" i="3"/>
  <c r="K112" i="3" s="1"/>
  <c r="L121" i="3"/>
  <c r="O121" i="3" s="1"/>
  <c r="O124" i="3"/>
  <c r="I130" i="3"/>
  <c r="K130" i="3" s="1"/>
  <c r="O137" i="3"/>
  <c r="L134" i="3"/>
  <c r="L135" i="3"/>
  <c r="O135" i="3" s="1"/>
  <c r="M138" i="3"/>
  <c r="P138" i="3" s="1"/>
  <c r="P140" i="3"/>
  <c r="N151" i="3"/>
  <c r="N149" i="3" s="1"/>
  <c r="M151" i="3"/>
  <c r="M149" i="3" s="1"/>
  <c r="O157" i="3"/>
  <c r="L151" i="3"/>
  <c r="L149" i="3" s="1"/>
  <c r="N167" i="3"/>
  <c r="N165" i="3" s="1"/>
  <c r="L238" i="3"/>
  <c r="O238" i="3" s="1"/>
  <c r="M321" i="3"/>
  <c r="P321" i="3" s="1"/>
  <c r="P323" i="3"/>
  <c r="J327" i="3"/>
  <c r="K327" i="3" s="1"/>
  <c r="L33" i="3"/>
  <c r="L31" i="3" s="1"/>
  <c r="L447" i="3"/>
  <c r="M56" i="3"/>
  <c r="P58" i="3"/>
  <c r="P170" i="3"/>
  <c r="M168" i="3"/>
  <c r="P168" i="3" s="1"/>
  <c r="N187" i="3"/>
  <c r="N183" i="3"/>
  <c r="N181" i="3" s="1"/>
  <c r="M167" i="3"/>
  <c r="M348" i="3"/>
  <c r="P348" i="3" s="1"/>
  <c r="I442" i="3"/>
  <c r="K442" i="3" s="1"/>
  <c r="K460" i="3"/>
  <c r="M135" i="3"/>
  <c r="P135" i="3" s="1"/>
  <c r="P137" i="3"/>
  <c r="O479" i="3"/>
  <c r="L477" i="3"/>
  <c r="O477" i="3" s="1"/>
  <c r="L469" i="3"/>
  <c r="L90" i="3"/>
  <c r="L88" i="3" s="1"/>
  <c r="O96" i="3"/>
  <c r="L122" i="3"/>
  <c r="O122" i="3" s="1"/>
  <c r="N152" i="3"/>
  <c r="O152" i="3" s="1"/>
  <c r="L155" i="3"/>
  <c r="O155" i="3" s="1"/>
  <c r="L198" i="3"/>
  <c r="O198" i="3" s="1"/>
  <c r="K224" i="3"/>
  <c r="O266" i="3"/>
  <c r="N263" i="3"/>
  <c r="N261" i="3" s="1"/>
  <c r="O353" i="3"/>
  <c r="L351" i="3"/>
  <c r="O351" i="3" s="1"/>
  <c r="L392" i="3"/>
  <c r="O392" i="3" s="1"/>
  <c r="P394" i="3"/>
  <c r="M391" i="3"/>
  <c r="P391" i="3" s="1"/>
  <c r="P397" i="3"/>
  <c r="M395" i="3"/>
  <c r="P395" i="3" s="1"/>
  <c r="P407" i="3"/>
  <c r="M404" i="3"/>
  <c r="K435" i="3"/>
  <c r="I433" i="3"/>
  <c r="I417" i="3" s="1"/>
  <c r="K440" i="3"/>
  <c r="O791" i="3"/>
  <c r="L788" i="3"/>
  <c r="O788" i="3" s="1"/>
  <c r="P303" i="3"/>
  <c r="M301" i="3"/>
  <c r="P301" i="3" s="1"/>
  <c r="O528" i="3"/>
  <c r="L525" i="3"/>
  <c r="K537" i="3"/>
  <c r="I522" i="3"/>
  <c r="K522" i="3" s="1"/>
  <c r="O140" i="3"/>
  <c r="L138" i="3"/>
  <c r="O138" i="3" s="1"/>
  <c r="M280" i="3"/>
  <c r="P280" i="3" s="1"/>
  <c r="P282" i="3"/>
  <c r="M134" i="3"/>
  <c r="O269" i="3"/>
  <c r="L263" i="3"/>
  <c r="L261" i="3" s="1"/>
  <c r="L280" i="3"/>
  <c r="O280" i="3" s="1"/>
  <c r="L404" i="3"/>
  <c r="O404" i="3" s="1"/>
  <c r="O407" i="3"/>
  <c r="O641" i="3"/>
  <c r="L639" i="3"/>
  <c r="O639" i="3" s="1"/>
  <c r="O61" i="3"/>
  <c r="L59" i="3"/>
  <c r="O59" i="3" s="1"/>
  <c r="L55" i="3"/>
  <c r="O93" i="3"/>
  <c r="N90" i="3"/>
  <c r="N88" i="3" s="1"/>
  <c r="O170" i="3"/>
  <c r="P173" i="3"/>
  <c r="M171" i="3"/>
  <c r="P171" i="3" s="1"/>
  <c r="L267" i="3"/>
  <c r="O267" i="3" s="1"/>
  <c r="M300" i="3"/>
  <c r="N317" i="3"/>
  <c r="N315" i="3" s="1"/>
  <c r="O320" i="3"/>
  <c r="L317" i="3"/>
  <c r="O350" i="3"/>
  <c r="L347" i="3"/>
  <c r="K374" i="3"/>
  <c r="O660" i="3"/>
  <c r="L657" i="3"/>
  <c r="O657" i="3" s="1"/>
  <c r="M43" i="3"/>
  <c r="O46" i="3"/>
  <c r="N26" i="3"/>
  <c r="N16" i="3" s="1"/>
  <c r="N14" i="3" s="1"/>
  <c r="L183" i="3"/>
  <c r="L217" i="3"/>
  <c r="O217" i="3" s="1"/>
  <c r="K340" i="3"/>
  <c r="P353" i="3"/>
  <c r="K365" i="3"/>
  <c r="K385" i="3"/>
  <c r="L631" i="3"/>
  <c r="O631" i="3" s="1"/>
  <c r="M121" i="3"/>
  <c r="P121" i="3" s="1"/>
  <c r="O333" i="3"/>
  <c r="L26" i="3"/>
  <c r="L24" i="3" s="1"/>
  <c r="O44" i="3"/>
  <c r="M26" i="3"/>
  <c r="M24" i="3" s="1"/>
  <c r="L209" i="3"/>
  <c r="O209" i="3" s="1"/>
  <c r="P333" i="3"/>
  <c r="K355" i="3"/>
  <c r="L454" i="3"/>
  <c r="O454" i="3" s="1"/>
  <c r="K824" i="3"/>
  <c r="I131" i="3"/>
  <c r="P49" i="3"/>
  <c r="M68" i="3"/>
  <c r="L69" i="3"/>
  <c r="O69" i="3" s="1"/>
  <c r="O71" i="3"/>
  <c r="P89" i="3"/>
  <c r="M152" i="3"/>
  <c r="P154" i="3"/>
  <c r="I164" i="3"/>
  <c r="K164" i="3" s="1"/>
  <c r="L168" i="3"/>
  <c r="O168" i="3" s="1"/>
  <c r="I208" i="3"/>
  <c r="K208" i="3" s="1"/>
  <c r="P262" i="3"/>
  <c r="P285" i="3"/>
  <c r="M283" i="3"/>
  <c r="P283" i="3" s="1"/>
  <c r="O634" i="3"/>
  <c r="M47" i="3"/>
  <c r="P47" i="3" s="1"/>
  <c r="M125" i="3"/>
  <c r="P125" i="3" s="1"/>
  <c r="P127" i="3"/>
  <c r="K145" i="3"/>
  <c r="M351" i="3"/>
  <c r="P351" i="3" s="1"/>
  <c r="O787" i="3"/>
  <c r="N12" i="3"/>
  <c r="N19" i="3"/>
  <c r="L23" i="3"/>
  <c r="L21" i="3" s="1"/>
  <c r="O42" i="3"/>
  <c r="L72" i="3"/>
  <c r="O72" i="3" s="1"/>
  <c r="O74" i="3"/>
  <c r="M94" i="3"/>
  <c r="P94" i="3" s="1"/>
  <c r="P96" i="3"/>
  <c r="I87" i="3"/>
  <c r="K87" i="3" s="1"/>
  <c r="K99" i="3"/>
  <c r="P150" i="3"/>
  <c r="L171" i="3"/>
  <c r="O171" i="3" s="1"/>
  <c r="L184" i="3"/>
  <c r="O184" i="3" s="1"/>
  <c r="M267" i="3"/>
  <c r="P267" i="3" s="1"/>
  <c r="P269" i="3"/>
  <c r="L283" i="3"/>
  <c r="O283" i="3" s="1"/>
  <c r="L300" i="3"/>
  <c r="N29" i="3"/>
  <c r="O278" i="3"/>
  <c r="L19" i="3"/>
  <c r="M91" i="3"/>
  <c r="P91" i="3" s="1"/>
  <c r="P93" i="3"/>
  <c r="L301" i="3"/>
  <c r="O301" i="3" s="1"/>
  <c r="N632" i="3"/>
  <c r="O632" i="3" s="1"/>
  <c r="L15" i="3"/>
  <c r="M23" i="3"/>
  <c r="M44" i="3"/>
  <c r="P44" i="3" s="1"/>
  <c r="P59" i="3"/>
  <c r="O67" i="3"/>
  <c r="M69" i="3"/>
  <c r="P69" i="3" s="1"/>
  <c r="P120" i="3"/>
  <c r="M122" i="3"/>
  <c r="P122" i="3" s="1"/>
  <c r="P124" i="3"/>
  <c r="M155" i="3"/>
  <c r="P155" i="3" s="1"/>
  <c r="P157" i="3"/>
  <c r="L279" i="3"/>
  <c r="L330" i="3"/>
  <c r="L334" i="3"/>
  <c r="O334" i="3" s="1"/>
  <c r="L395" i="3"/>
  <c r="O395" i="3" s="1"/>
  <c r="P771" i="3"/>
  <c r="M770" i="3"/>
  <c r="P770" i="3" s="1"/>
  <c r="M264" i="3"/>
  <c r="P264" i="3" s="1"/>
  <c r="P266" i="3"/>
  <c r="M347" i="3"/>
  <c r="M15" i="3"/>
  <c r="N23" i="3"/>
  <c r="L43" i="3"/>
  <c r="M55" i="3"/>
  <c r="M72" i="3"/>
  <c r="P72" i="3" s="1"/>
  <c r="K79" i="3"/>
  <c r="I77" i="3"/>
  <c r="M90" i="3"/>
  <c r="L167" i="3"/>
  <c r="I190" i="3"/>
  <c r="K190" i="3" s="1"/>
  <c r="M263" i="3"/>
  <c r="M279" i="3"/>
  <c r="J288" i="3"/>
  <c r="J275" i="3" s="1"/>
  <c r="I275" i="3"/>
  <c r="M330" i="3"/>
  <c r="M334" i="3"/>
  <c r="P334" i="3" s="1"/>
  <c r="L391" i="3"/>
  <c r="N446" i="3"/>
  <c r="N444" i="3" s="1"/>
  <c r="N414" i="3" s="1"/>
  <c r="N33" i="3"/>
  <c r="N30" i="3" s="1"/>
  <c r="N447" i="3"/>
  <c r="J143" i="3"/>
  <c r="J131" i="3" s="1"/>
  <c r="I297" i="3"/>
  <c r="K297" i="3" s="1"/>
  <c r="I364" i="3"/>
  <c r="P631" i="3"/>
  <c r="M629" i="3"/>
  <c r="P629" i="3" s="1"/>
  <c r="I628" i="3"/>
  <c r="K628" i="3" s="1"/>
  <c r="K651" i="3"/>
  <c r="K821" i="3"/>
  <c r="K827" i="3"/>
  <c r="K369" i="3"/>
  <c r="M419" i="3"/>
  <c r="L429" i="3"/>
  <c r="O429" i="3" s="1"/>
  <c r="I785" i="3"/>
  <c r="K785" i="3" s="1"/>
  <c r="K800" i="3"/>
  <c r="L805" i="3"/>
  <c r="O805" i="3" s="1"/>
  <c r="P807" i="3"/>
  <c r="M805" i="3"/>
  <c r="P805" i="3" s="1"/>
  <c r="I559" i="3"/>
  <c r="K576" i="3"/>
  <c r="M317" i="3"/>
  <c r="P329" i="3"/>
  <c r="P346" i="3"/>
  <c r="K360" i="3"/>
  <c r="P420" i="3"/>
  <c r="M444" i="3"/>
  <c r="P444" i="3" s="1"/>
  <c r="O449" i="3"/>
  <c r="M467" i="3"/>
  <c r="P467" i="3" s="1"/>
  <c r="P504" i="3"/>
  <c r="I592" i="3"/>
  <c r="K592" i="3" s="1"/>
  <c r="K593" i="3"/>
  <c r="P687" i="3"/>
  <c r="M685" i="3"/>
  <c r="P685" i="3" s="1"/>
  <c r="P788" i="3"/>
  <c r="M786" i="3"/>
  <c r="P786" i="3" s="1"/>
  <c r="L526" i="3"/>
  <c r="O526" i="3" s="1"/>
  <c r="K675" i="3"/>
  <c r="K672" i="3"/>
  <c r="L688" i="3"/>
  <c r="O688" i="3" s="1"/>
  <c r="J433" i="3"/>
  <c r="K669" i="3"/>
  <c r="L687" i="3"/>
  <c r="O687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N805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M806" i="2"/>
  <c r="L806" i="2"/>
  <c r="K804" i="2"/>
  <c r="J804" i="2"/>
  <c r="J803" i="2"/>
  <c r="I803" i="2"/>
  <c r="J802" i="2"/>
  <c r="J801" i="2"/>
  <c r="I801" i="2"/>
  <c r="J800" i="2"/>
  <c r="P798" i="2"/>
  <c r="O798" i="2"/>
  <c r="P797" i="2"/>
  <c r="O797" i="2"/>
  <c r="P796" i="2"/>
  <c r="N796" i="2"/>
  <c r="M796" i="2"/>
  <c r="L796" i="2"/>
  <c r="O796" i="2" s="1"/>
  <c r="N795" i="2"/>
  <c r="P791" i="2"/>
  <c r="N791" i="2"/>
  <c r="L791" i="2"/>
  <c r="L788" i="2" s="1"/>
  <c r="P790" i="2"/>
  <c r="O790" i="2"/>
  <c r="P789" i="2"/>
  <c r="N789" i="2"/>
  <c r="M789" i="2"/>
  <c r="M788" i="2"/>
  <c r="P788" i="2" s="1"/>
  <c r="P787" i="2"/>
  <c r="N787" i="2"/>
  <c r="M787" i="2"/>
  <c r="M786" i="2" s="1"/>
  <c r="P786" i="2" s="1"/>
  <c r="L787" i="2"/>
  <c r="O787" i="2" s="1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P774" i="2"/>
  <c r="O774" i="2"/>
  <c r="O773" i="2"/>
  <c r="M773" i="2"/>
  <c r="P773" i="2" s="1"/>
  <c r="L773" i="2"/>
  <c r="P772" i="2"/>
  <c r="M772" i="2"/>
  <c r="L772" i="2"/>
  <c r="O771" i="2"/>
  <c r="N771" i="2"/>
  <c r="M771" i="2"/>
  <c r="P771" i="2" s="1"/>
  <c r="L771" i="2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P758" i="2"/>
  <c r="O758" i="2"/>
  <c r="O757" i="2"/>
  <c r="M757" i="2"/>
  <c r="P757" i="2" s="1"/>
  <c r="L757" i="2"/>
  <c r="P756" i="2"/>
  <c r="M756" i="2"/>
  <c r="L756" i="2"/>
  <c r="O755" i="2"/>
  <c r="N755" i="2"/>
  <c r="M755" i="2"/>
  <c r="P755" i="2" s="1"/>
  <c r="L755" i="2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P741" i="2"/>
  <c r="O741" i="2"/>
  <c r="M740" i="2"/>
  <c r="P740" i="2" s="1"/>
  <c r="L740" i="2"/>
  <c r="O740" i="2" s="1"/>
  <c r="P739" i="2"/>
  <c r="M739" i="2"/>
  <c r="L739" i="2"/>
  <c r="O738" i="2"/>
  <c r="N738" i="2"/>
  <c r="M738" i="2"/>
  <c r="P738" i="2" s="1"/>
  <c r="L738" i="2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J719" i="2"/>
  <c r="J718" i="2"/>
  <c r="J708" i="2"/>
  <c r="I708" i="2"/>
  <c r="I707" i="2"/>
  <c r="I704" i="2"/>
  <c r="J701" i="2"/>
  <c r="I701" i="2"/>
  <c r="J700" i="2"/>
  <c r="I700" i="2"/>
  <c r="K700" i="2" s="1"/>
  <c r="J699" i="2"/>
  <c r="I699" i="2"/>
  <c r="K699" i="2" s="1"/>
  <c r="P697" i="2"/>
  <c r="O697" i="2"/>
  <c r="P696" i="2"/>
  <c r="O696" i="2"/>
  <c r="O695" i="2"/>
  <c r="N695" i="2"/>
  <c r="M695" i="2"/>
  <c r="P695" i="2" s="1"/>
  <c r="L695" i="2"/>
  <c r="P690" i="2"/>
  <c r="N690" i="2"/>
  <c r="L690" i="2"/>
  <c r="O690" i="2" s="1"/>
  <c r="P688" i="2"/>
  <c r="M688" i="2"/>
  <c r="P687" i="2"/>
  <c r="M687" i="2"/>
  <c r="P686" i="2"/>
  <c r="O686" i="2"/>
  <c r="N686" i="2"/>
  <c r="M686" i="2"/>
  <c r="M685" i="2" s="1"/>
  <c r="P685" i="2" s="1"/>
  <c r="L686" i="2"/>
  <c r="J679" i="2"/>
  <c r="J678" i="2"/>
  <c r="I678" i="2"/>
  <c r="K678" i="2" s="1"/>
  <c r="J675" i="2"/>
  <c r="I671" i="2"/>
  <c r="K671" i="2" s="1"/>
  <c r="I670" i="2"/>
  <c r="K670" i="2" s="1"/>
  <c r="J669" i="2"/>
  <c r="J654" i="2" s="1"/>
  <c r="I669" i="2"/>
  <c r="K675" i="2" s="1"/>
  <c r="P667" i="2"/>
  <c r="O667" i="2"/>
  <c r="P666" i="2"/>
  <c r="O666" i="2"/>
  <c r="P665" i="2"/>
  <c r="O665" i="2"/>
  <c r="N665" i="2"/>
  <c r="M665" i="2"/>
  <c r="L665" i="2"/>
  <c r="P660" i="2"/>
  <c r="N660" i="2"/>
  <c r="L660" i="2"/>
  <c r="L658" i="2" s="1"/>
  <c r="O658" i="2" s="1"/>
  <c r="P659" i="2"/>
  <c r="O659" i="2"/>
  <c r="N658" i="2"/>
  <c r="M658" i="2"/>
  <c r="P658" i="2" s="1"/>
  <c r="N657" i="2"/>
  <c r="N655" i="2" s="1"/>
  <c r="M657" i="2"/>
  <c r="P657" i="2" s="1"/>
  <c r="N656" i="2"/>
  <c r="M656" i="2"/>
  <c r="L656" i="2"/>
  <c r="O656" i="2" s="1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N639" i="2"/>
  <c r="M639" i="2"/>
  <c r="P639" i="2" s="1"/>
  <c r="N638" i="2"/>
  <c r="N634" i="2" s="1"/>
  <c r="P634" i="2"/>
  <c r="L634" i="2"/>
  <c r="P633" i="2"/>
  <c r="O633" i="2"/>
  <c r="M632" i="2"/>
  <c r="P632" i="2" s="1"/>
  <c r="P631" i="2"/>
  <c r="M631" i="2"/>
  <c r="P630" i="2"/>
  <c r="O630" i="2"/>
  <c r="N630" i="2"/>
  <c r="M630" i="2"/>
  <c r="M629" i="2" s="1"/>
  <c r="P629" i="2" s="1"/>
  <c r="L630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3" i="2" s="1"/>
  <c r="J594" i="2"/>
  <c r="I594" i="2"/>
  <c r="K594" i="2" s="1"/>
  <c r="I593" i="2"/>
  <c r="K593" i="2" s="1"/>
  <c r="J592" i="2"/>
  <c r="J583" i="2"/>
  <c r="J577" i="2" s="1"/>
  <c r="J582" i="2"/>
  <c r="J576" i="2" s="1"/>
  <c r="I577" i="2"/>
  <c r="K577" i="2" s="1"/>
  <c r="I576" i="2"/>
  <c r="I559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O557" i="2" s="1"/>
  <c r="P556" i="2"/>
  <c r="O556" i="2"/>
  <c r="P555" i="2"/>
  <c r="N555" i="2"/>
  <c r="M555" i="2"/>
  <c r="N553" i="2"/>
  <c r="P549" i="2"/>
  <c r="N549" i="2"/>
  <c r="L549" i="2"/>
  <c r="L547" i="2" s="1"/>
  <c r="O547" i="2" s="1"/>
  <c r="P548" i="2"/>
  <c r="O548" i="2"/>
  <c r="P547" i="2"/>
  <c r="N547" i="2"/>
  <c r="M547" i="2"/>
  <c r="N546" i="2"/>
  <c r="M546" i="2"/>
  <c r="P546" i="2" s="1"/>
  <c r="N545" i="2"/>
  <c r="N544" i="2" s="1"/>
  <c r="M545" i="2"/>
  <c r="P545" i="2" s="1"/>
  <c r="L545" i="2"/>
  <c r="O545" i="2" s="1"/>
  <c r="M544" i="2"/>
  <c r="P544" i="2" s="1"/>
  <c r="I542" i="2"/>
  <c r="K542" i="2" s="1"/>
  <c r="I541" i="2"/>
  <c r="K541" i="2" s="1"/>
  <c r="I540" i="2"/>
  <c r="K540" i="2" s="1"/>
  <c r="I539" i="2"/>
  <c r="I538" i="2"/>
  <c r="K538" i="2" s="1"/>
  <c r="I537" i="2"/>
  <c r="K537" i="2" s="1"/>
  <c r="P535" i="2"/>
  <c r="L535" i="2"/>
  <c r="O535" i="2" s="1"/>
  <c r="P534" i="2"/>
  <c r="O534" i="2"/>
  <c r="N533" i="2"/>
  <c r="M533" i="2"/>
  <c r="P533" i="2" s="1"/>
  <c r="P528" i="2"/>
  <c r="N528" i="2"/>
  <c r="N525" i="2" s="1"/>
  <c r="N523" i="2" s="1"/>
  <c r="L528" i="2"/>
  <c r="L526" i="2" s="1"/>
  <c r="O526" i="2" s="1"/>
  <c r="P527" i="2"/>
  <c r="O527" i="2"/>
  <c r="M526" i="2"/>
  <c r="P526" i="2" s="1"/>
  <c r="M525" i="2"/>
  <c r="P524" i="2"/>
  <c r="N524" i="2"/>
  <c r="M524" i="2"/>
  <c r="L524" i="2"/>
  <c r="K517" i="2"/>
  <c r="J517" i="2"/>
  <c r="J501" i="2" s="1"/>
  <c r="K516" i="2"/>
  <c r="P514" i="2"/>
  <c r="O514" i="2"/>
  <c r="P513" i="2"/>
  <c r="O513" i="2"/>
  <c r="N512" i="2"/>
  <c r="M512" i="2"/>
  <c r="P512" i="2" s="1"/>
  <c r="L512" i="2"/>
  <c r="O512" i="2" s="1"/>
  <c r="P507" i="2"/>
  <c r="O507" i="2"/>
  <c r="N507" i="2"/>
  <c r="P506" i="2"/>
  <c r="O506" i="2"/>
  <c r="N505" i="2"/>
  <c r="M505" i="2"/>
  <c r="P505" i="2" s="1"/>
  <c r="L505" i="2"/>
  <c r="O505" i="2" s="1"/>
  <c r="P504" i="2"/>
  <c r="N504" i="2"/>
  <c r="M504" i="2"/>
  <c r="L504" i="2"/>
  <c r="O504" i="2" s="1"/>
  <c r="P503" i="2"/>
  <c r="O503" i="2"/>
  <c r="N503" i="2"/>
  <c r="M503" i="2"/>
  <c r="M502" i="2" s="1"/>
  <c r="P502" i="2" s="1"/>
  <c r="L503" i="2"/>
  <c r="O502" i="2"/>
  <c r="N502" i="2"/>
  <c r="L502" i="2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N477" i="2"/>
  <c r="M477" i="2"/>
  <c r="P477" i="2" s="1"/>
  <c r="P472" i="2"/>
  <c r="N472" i="2"/>
  <c r="L472" i="2"/>
  <c r="L470" i="2" s="1"/>
  <c r="O470" i="2" s="1"/>
  <c r="P471" i="2"/>
  <c r="O471" i="2"/>
  <c r="N470" i="2"/>
  <c r="M470" i="2"/>
  <c r="P470" i="2" s="1"/>
  <c r="P469" i="2"/>
  <c r="M469" i="2"/>
  <c r="P468" i="2"/>
  <c r="O468" i="2"/>
  <c r="N468" i="2"/>
  <c r="M468" i="2"/>
  <c r="M467" i="2" s="1"/>
  <c r="P467" i="2" s="1"/>
  <c r="L468" i="2"/>
  <c r="J466" i="2"/>
  <c r="I466" i="2"/>
  <c r="K466" i="2" s="1"/>
  <c r="J465" i="2"/>
  <c r="I465" i="2"/>
  <c r="K465" i="2" s="1"/>
  <c r="I464" i="2"/>
  <c r="I463" i="2"/>
  <c r="I462" i="2"/>
  <c r="I443" i="2" s="1"/>
  <c r="K443" i="2" s="1"/>
  <c r="I460" i="2"/>
  <c r="K460" i="2" s="1"/>
  <c r="K458" i="2"/>
  <c r="P456" i="2"/>
  <c r="L456" i="2"/>
  <c r="L454" i="2" s="1"/>
  <c r="O454" i="2" s="1"/>
  <c r="P455" i="2"/>
  <c r="O455" i="2"/>
  <c r="N454" i="2"/>
  <c r="M454" i="2"/>
  <c r="P454" i="2" s="1"/>
  <c r="P449" i="2"/>
  <c r="N449" i="2"/>
  <c r="L449" i="2"/>
  <c r="P448" i="2"/>
  <c r="O448" i="2"/>
  <c r="N447" i="2"/>
  <c r="M447" i="2"/>
  <c r="P447" i="2" s="1"/>
  <c r="N446" i="2"/>
  <c r="M446" i="2"/>
  <c r="P446" i="2" s="1"/>
  <c r="P445" i="2"/>
  <c r="O445" i="2"/>
  <c r="N445" i="2"/>
  <c r="N444" i="2" s="1"/>
  <c r="M445" i="2"/>
  <c r="M444" i="2" s="1"/>
  <c r="P444" i="2" s="1"/>
  <c r="L445" i="2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K435" i="2" s="1"/>
  <c r="J434" i="2"/>
  <c r="P431" i="2"/>
  <c r="L431" i="2"/>
  <c r="L429" i="2" s="1"/>
  <c r="O429" i="2" s="1"/>
  <c r="P430" i="2"/>
  <c r="O430" i="2"/>
  <c r="N429" i="2"/>
  <c r="M429" i="2"/>
  <c r="P429" i="2" s="1"/>
  <c r="P424" i="2"/>
  <c r="N424" i="2"/>
  <c r="L424" i="2"/>
  <c r="P423" i="2"/>
  <c r="O423" i="2"/>
  <c r="N422" i="2"/>
  <c r="M422" i="2"/>
  <c r="P422" i="2" s="1"/>
  <c r="N421" i="2"/>
  <c r="M421" i="2"/>
  <c r="P421" i="2" s="1"/>
  <c r="P420" i="2"/>
  <c r="N420" i="2"/>
  <c r="N419" i="2" s="1"/>
  <c r="M420" i="2"/>
  <c r="M419" i="2" s="1"/>
  <c r="P419" i="2" s="1"/>
  <c r="L420" i="2"/>
  <c r="O420" i="2" s="1"/>
  <c r="J418" i="2"/>
  <c r="K413" i="2"/>
  <c r="K412" i="2"/>
  <c r="N410" i="2"/>
  <c r="N408" i="2" s="1"/>
  <c r="M410" i="2"/>
  <c r="P410" i="2" s="1"/>
  <c r="L410" i="2"/>
  <c r="L408" i="2" s="1"/>
  <c r="O408" i="2" s="1"/>
  <c r="P409" i="2"/>
  <c r="O409" i="2"/>
  <c r="N407" i="2"/>
  <c r="N405" i="2" s="1"/>
  <c r="M407" i="2"/>
  <c r="P407" i="2" s="1"/>
  <c r="L407" i="2"/>
  <c r="L405" i="2" s="1"/>
  <c r="O405" i="2" s="1"/>
  <c r="P406" i="2"/>
  <c r="O406" i="2"/>
  <c r="P403" i="2"/>
  <c r="O403" i="2"/>
  <c r="N403" i="2"/>
  <c r="M403" i="2"/>
  <c r="L403" i="2"/>
  <c r="K401" i="2"/>
  <c r="J401" i="2"/>
  <c r="I401" i="2"/>
  <c r="K400" i="2"/>
  <c r="K399" i="2"/>
  <c r="N397" i="2"/>
  <c r="N395" i="2" s="1"/>
  <c r="M397" i="2"/>
  <c r="P397" i="2" s="1"/>
  <c r="L397" i="2"/>
  <c r="P396" i="2"/>
  <c r="O396" i="2"/>
  <c r="N394" i="2"/>
  <c r="N392" i="2" s="1"/>
  <c r="M394" i="2"/>
  <c r="P394" i="2" s="1"/>
  <c r="L394" i="2"/>
  <c r="P393" i="2"/>
  <c r="O393" i="2"/>
  <c r="N390" i="2"/>
  <c r="M390" i="2"/>
  <c r="P390" i="2" s="1"/>
  <c r="L390" i="2"/>
  <c r="O390" i="2" s="1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P352" i="2"/>
  <c r="O352" i="2"/>
  <c r="N350" i="2"/>
  <c r="N348" i="2" s="1"/>
  <c r="M350" i="2"/>
  <c r="M348" i="2" s="1"/>
  <c r="L350" i="2"/>
  <c r="P349" i="2"/>
  <c r="O349" i="2"/>
  <c r="N346" i="2"/>
  <c r="M346" i="2"/>
  <c r="P346" i="2" s="1"/>
  <c r="L346" i="2"/>
  <c r="O346" i="2" s="1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P335" i="2"/>
  <c r="O335" i="2"/>
  <c r="N333" i="2"/>
  <c r="N331" i="2" s="1"/>
  <c r="M333" i="2"/>
  <c r="L333" i="2"/>
  <c r="P332" i="2"/>
  <c r="O332" i="2"/>
  <c r="N329" i="2"/>
  <c r="M329" i="2"/>
  <c r="P329" i="2" s="1"/>
  <c r="L329" i="2"/>
  <c r="O329" i="2" s="1"/>
  <c r="I327" i="2"/>
  <c r="I325" i="2"/>
  <c r="K325" i="2" s="1"/>
  <c r="N323" i="2"/>
  <c r="N321" i="2" s="1"/>
  <c r="M323" i="2"/>
  <c r="M321" i="2" s="1"/>
  <c r="P321" i="2" s="1"/>
  <c r="L323" i="2"/>
  <c r="L321" i="2" s="1"/>
  <c r="O321" i="2" s="1"/>
  <c r="P322" i="2"/>
  <c r="O322" i="2"/>
  <c r="N320" i="2"/>
  <c r="M320" i="2"/>
  <c r="M318" i="2" s="1"/>
  <c r="L320" i="2"/>
  <c r="L318" i="2" s="1"/>
  <c r="P319" i="2"/>
  <c r="O319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I297" i="2" s="1"/>
  <c r="N306" i="2"/>
  <c r="N304" i="2" s="1"/>
  <c r="M306" i="2"/>
  <c r="P306" i="2" s="1"/>
  <c r="L306" i="2"/>
  <c r="L304" i="2" s="1"/>
  <c r="O304" i="2" s="1"/>
  <c r="P305" i="2"/>
  <c r="O305" i="2"/>
  <c r="N303" i="2"/>
  <c r="M303" i="2"/>
  <c r="M301" i="2" s="1"/>
  <c r="L303" i="2"/>
  <c r="L301" i="2" s="1"/>
  <c r="P302" i="2"/>
  <c r="O302" i="2"/>
  <c r="P299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K287" i="2" s="1"/>
  <c r="N285" i="2"/>
  <c r="N283" i="2" s="1"/>
  <c r="M285" i="2"/>
  <c r="M283" i="2" s="1"/>
  <c r="P283" i="2" s="1"/>
  <c r="L285" i="2"/>
  <c r="O285" i="2" s="1"/>
  <c r="P284" i="2"/>
  <c r="O284" i="2"/>
  <c r="N282" i="2"/>
  <c r="M282" i="2"/>
  <c r="L282" i="2"/>
  <c r="P281" i="2"/>
  <c r="O281" i="2"/>
  <c r="P278" i="2"/>
  <c r="N278" i="2"/>
  <c r="M278" i="2"/>
  <c r="L278" i="2"/>
  <c r="J276" i="2"/>
  <c r="I271" i="2"/>
  <c r="I260" i="2" s="1"/>
  <c r="N269" i="2"/>
  <c r="N267" i="2" s="1"/>
  <c r="M269" i="2"/>
  <c r="P269" i="2" s="1"/>
  <c r="L269" i="2"/>
  <c r="P268" i="2"/>
  <c r="O268" i="2"/>
  <c r="N266" i="2"/>
  <c r="M266" i="2"/>
  <c r="M264" i="2" s="1"/>
  <c r="L266" i="2"/>
  <c r="L264" i="2" s="1"/>
  <c r="P265" i="2"/>
  <c r="O265" i="2"/>
  <c r="O262" i="2"/>
  <c r="N262" i="2"/>
  <c r="M262" i="2"/>
  <c r="L262" i="2"/>
  <c r="J260" i="2"/>
  <c r="K258" i="2"/>
  <c r="K257" i="2"/>
  <c r="I255" i="2"/>
  <c r="I248" i="2" s="1"/>
  <c r="K248" i="2" s="1"/>
  <c r="L253" i="2"/>
  <c r="L252" i="2"/>
  <c r="L251" i="2"/>
  <c r="L250" i="2"/>
  <c r="P249" i="2"/>
  <c r="N249" i="2"/>
  <c r="J248" i="2"/>
  <c r="K247" i="2"/>
  <c r="K246" i="2"/>
  <c r="I244" i="2"/>
  <c r="K244" i="2" s="1"/>
  <c r="L242" i="2"/>
  <c r="L241" i="2"/>
  <c r="L240" i="2"/>
  <c r="L239" i="2"/>
  <c r="P238" i="2"/>
  <c r="N238" i="2"/>
  <c r="N227" i="2" s="1"/>
  <c r="J237" i="2"/>
  <c r="J226" i="2" s="1"/>
  <c r="J236" i="2"/>
  <c r="I236" i="2"/>
  <c r="K236" i="2" s="1"/>
  <c r="J235" i="2"/>
  <c r="I235" i="2"/>
  <c r="K235" i="2" s="1"/>
  <c r="J233" i="2"/>
  <c r="N231" i="2"/>
  <c r="N230" i="2"/>
  <c r="N229" i="2"/>
  <c r="N228" i="2"/>
  <c r="I225" i="2"/>
  <c r="I224" i="2"/>
  <c r="K224" i="2" s="1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P189" i="2" s="1"/>
  <c r="L189" i="2"/>
  <c r="L187" i="2" s="1"/>
  <c r="O187" i="2" s="1"/>
  <c r="P188" i="2"/>
  <c r="O188" i="2"/>
  <c r="N186" i="2"/>
  <c r="M186" i="2"/>
  <c r="M184" i="2" s="1"/>
  <c r="L186" i="2"/>
  <c r="L184" i="2" s="1"/>
  <c r="P185" i="2"/>
  <c r="O185" i="2"/>
  <c r="O182" i="2"/>
  <c r="N182" i="2"/>
  <c r="M182" i="2"/>
  <c r="P182" i="2" s="1"/>
  <c r="L182" i="2"/>
  <c r="J180" i="2"/>
  <c r="J177" i="2"/>
  <c r="I176" i="2"/>
  <c r="I174" i="2" s="1"/>
  <c r="I164" i="2" s="1"/>
  <c r="J174" i="2"/>
  <c r="N173" i="2"/>
  <c r="N171" i="2" s="1"/>
  <c r="M173" i="2"/>
  <c r="P173" i="2" s="1"/>
  <c r="L173" i="2"/>
  <c r="L171" i="2" s="1"/>
  <c r="O171" i="2" s="1"/>
  <c r="P172" i="2"/>
  <c r="O172" i="2"/>
  <c r="N170" i="2"/>
  <c r="M170" i="2"/>
  <c r="M168" i="2" s="1"/>
  <c r="L170" i="2"/>
  <c r="L168" i="2" s="1"/>
  <c r="P169" i="2"/>
  <c r="O169" i="2"/>
  <c r="N166" i="2"/>
  <c r="M166" i="2"/>
  <c r="P166" i="2" s="1"/>
  <c r="L166" i="2"/>
  <c r="J164" i="2"/>
  <c r="I159" i="2"/>
  <c r="K159" i="2" s="1"/>
  <c r="N157" i="2"/>
  <c r="N155" i="2" s="1"/>
  <c r="M157" i="2"/>
  <c r="P157" i="2" s="1"/>
  <c r="L157" i="2"/>
  <c r="O157" i="2" s="1"/>
  <c r="P156" i="2"/>
  <c r="O156" i="2"/>
  <c r="N154" i="2"/>
  <c r="N152" i="2" s="1"/>
  <c r="M154" i="2"/>
  <c r="L154" i="2"/>
  <c r="P153" i="2"/>
  <c r="O153" i="2"/>
  <c r="P150" i="2"/>
  <c r="O150" i="2"/>
  <c r="N150" i="2"/>
  <c r="M150" i="2"/>
  <c r="L150" i="2"/>
  <c r="J148" i="2"/>
  <c r="I146" i="2"/>
  <c r="I130" i="2" s="1"/>
  <c r="K130" i="2" s="1"/>
  <c r="I145" i="2"/>
  <c r="I144" i="2"/>
  <c r="K144" i="2" s="1"/>
  <c r="N140" i="2"/>
  <c r="N138" i="2" s="1"/>
  <c r="M140" i="2"/>
  <c r="P140" i="2" s="1"/>
  <c r="L140" i="2"/>
  <c r="P139" i="2"/>
  <c r="O139" i="2"/>
  <c r="N137" i="2"/>
  <c r="N135" i="2" s="1"/>
  <c r="M137" i="2"/>
  <c r="P137" i="2" s="1"/>
  <c r="L137" i="2"/>
  <c r="L135" i="2" s="1"/>
  <c r="O135" i="2" s="1"/>
  <c r="P136" i="2"/>
  <c r="O136" i="2"/>
  <c r="N133" i="2"/>
  <c r="M133" i="2"/>
  <c r="P133" i="2" s="1"/>
  <c r="L133" i="2"/>
  <c r="O133" i="2" s="1"/>
  <c r="J130" i="2"/>
  <c r="N127" i="2"/>
  <c r="N125" i="2" s="1"/>
  <c r="M127" i="2"/>
  <c r="P127" i="2" s="1"/>
  <c r="L127" i="2"/>
  <c r="O127" i="2" s="1"/>
  <c r="P126" i="2"/>
  <c r="O126" i="2"/>
  <c r="N124" i="2"/>
  <c r="N122" i="2" s="1"/>
  <c r="M124" i="2"/>
  <c r="L124" i="2"/>
  <c r="O124" i="2" s="1"/>
  <c r="P123" i="2"/>
  <c r="O123" i="2"/>
  <c r="O120" i="2"/>
  <c r="N120" i="2"/>
  <c r="M120" i="2"/>
  <c r="L120" i="2"/>
  <c r="J118" i="2"/>
  <c r="K118" i="2" s="1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I99" i="2"/>
  <c r="J98" i="2"/>
  <c r="I98" i="2"/>
  <c r="K98" i="2" s="1"/>
  <c r="N96" i="2"/>
  <c r="N94" i="2" s="1"/>
  <c r="M96" i="2"/>
  <c r="P96" i="2" s="1"/>
  <c r="L96" i="2"/>
  <c r="L94" i="2" s="1"/>
  <c r="O94" i="2" s="1"/>
  <c r="P95" i="2"/>
  <c r="O95" i="2"/>
  <c r="N93" i="2"/>
  <c r="N91" i="2" s="1"/>
  <c r="M93" i="2"/>
  <c r="M91" i="2" s="1"/>
  <c r="L93" i="2"/>
  <c r="L91" i="2" s="1"/>
  <c r="P92" i="2"/>
  <c r="O92" i="2"/>
  <c r="P89" i="2"/>
  <c r="O89" i="2"/>
  <c r="N89" i="2"/>
  <c r="M89" i="2"/>
  <c r="L89" i="2"/>
  <c r="J87" i="2"/>
  <c r="J86" i="2"/>
  <c r="I84" i="2"/>
  <c r="K84" i="2" s="1"/>
  <c r="I83" i="2"/>
  <c r="K83" i="2" s="1"/>
  <c r="I82" i="2"/>
  <c r="K82" i="2" s="1"/>
  <c r="I81" i="2"/>
  <c r="K81" i="2" s="1"/>
  <c r="I80" i="2"/>
  <c r="I79" i="2"/>
  <c r="I78" i="2"/>
  <c r="K78" i="2" s="1"/>
  <c r="J77" i="2"/>
  <c r="J65" i="2" s="1"/>
  <c r="J76" i="2"/>
  <c r="N74" i="2"/>
  <c r="N72" i="2" s="1"/>
  <c r="M74" i="2"/>
  <c r="M72" i="2" s="1"/>
  <c r="P72" i="2" s="1"/>
  <c r="L74" i="2"/>
  <c r="O74" i="2" s="1"/>
  <c r="P73" i="2"/>
  <c r="O73" i="2"/>
  <c r="N71" i="2"/>
  <c r="M71" i="2"/>
  <c r="M69" i="2" s="1"/>
  <c r="P69" i="2" s="1"/>
  <c r="L71" i="2"/>
  <c r="O71" i="2" s="1"/>
  <c r="P70" i="2"/>
  <c r="O70" i="2"/>
  <c r="O67" i="2"/>
  <c r="N67" i="2"/>
  <c r="M67" i="2"/>
  <c r="P67" i="2" s="1"/>
  <c r="L67" i="2"/>
  <c r="J64" i="2"/>
  <c r="N61" i="2"/>
  <c r="M61" i="2"/>
  <c r="P61" i="2" s="1"/>
  <c r="L61" i="2"/>
  <c r="O61" i="2" s="1"/>
  <c r="P60" i="2"/>
  <c r="O60" i="2"/>
  <c r="N58" i="2"/>
  <c r="N56" i="2" s="1"/>
  <c r="M58" i="2"/>
  <c r="M56" i="2" s="1"/>
  <c r="L58" i="2"/>
  <c r="L56" i="2" s="1"/>
  <c r="P57" i="2"/>
  <c r="O57" i="2"/>
  <c r="P54" i="2"/>
  <c r="O54" i="2"/>
  <c r="N54" i="2"/>
  <c r="M54" i="2"/>
  <c r="L54" i="2"/>
  <c r="N49" i="2"/>
  <c r="M49" i="2"/>
  <c r="M47" i="2" s="1"/>
  <c r="P47" i="2" s="1"/>
  <c r="L49" i="2"/>
  <c r="L47" i="2" s="1"/>
  <c r="O47" i="2" s="1"/>
  <c r="P48" i="2"/>
  <c r="O48" i="2"/>
  <c r="N46" i="2"/>
  <c r="N44" i="2" s="1"/>
  <c r="M46" i="2"/>
  <c r="L46" i="2"/>
  <c r="P45" i="2"/>
  <c r="O45" i="2"/>
  <c r="O42" i="2"/>
  <c r="N42" i="2"/>
  <c r="M42" i="2"/>
  <c r="P42" i="2" s="1"/>
  <c r="L42" i="2"/>
  <c r="P36" i="2"/>
  <c r="N36" i="2"/>
  <c r="M36" i="2"/>
  <c r="P35" i="2"/>
  <c r="O35" i="2"/>
  <c r="N35" i="2"/>
  <c r="N15" i="2" s="1"/>
  <c r="M35" i="2"/>
  <c r="L35" i="2"/>
  <c r="P34" i="2"/>
  <c r="M34" i="2"/>
  <c r="N33" i="2"/>
  <c r="N30" i="2" s="1"/>
  <c r="M33" i="2"/>
  <c r="P33" i="2" s="1"/>
  <c r="O32" i="2"/>
  <c r="N32" i="2"/>
  <c r="N29" i="2" s="1"/>
  <c r="M32" i="2"/>
  <c r="L32" i="2"/>
  <c r="L29" i="2"/>
  <c r="N28" i="2"/>
  <c r="O25" i="2"/>
  <c r="N25" i="2"/>
  <c r="M25" i="2"/>
  <c r="L25" i="2"/>
  <c r="P22" i="2"/>
  <c r="N22" i="2"/>
  <c r="N12" i="2" s="1"/>
  <c r="M22" i="2"/>
  <c r="L22" i="2"/>
  <c r="M19" i="2"/>
  <c r="P19" i="2" s="1"/>
  <c r="M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N805" i="1" s="1"/>
  <c r="M807" i="1"/>
  <c r="P807" i="1" s="1"/>
  <c r="L807" i="1"/>
  <c r="O807" i="1" s="1"/>
  <c r="N806" i="1"/>
  <c r="M806" i="1"/>
  <c r="L806" i="1"/>
  <c r="O806" i="1" s="1"/>
  <c r="L805" i="1"/>
  <c r="O805" i="1" s="1"/>
  <c r="K804" i="1"/>
  <c r="J804" i="1"/>
  <c r="J803" i="1"/>
  <c r="I803" i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P791" i="1"/>
  <c r="L791" i="1"/>
  <c r="L789" i="1" s="1"/>
  <c r="P790" i="1"/>
  <c r="O790" i="1"/>
  <c r="P789" i="1"/>
  <c r="M789" i="1"/>
  <c r="P788" i="1"/>
  <c r="M788" i="1"/>
  <c r="O787" i="1"/>
  <c r="N787" i="1"/>
  <c r="M787" i="1"/>
  <c r="L787" i="1"/>
  <c r="P782" i="1"/>
  <c r="O782" i="1"/>
  <c r="P781" i="1"/>
  <c r="O781" i="1"/>
  <c r="N780" i="1"/>
  <c r="M780" i="1"/>
  <c r="P780" i="1" s="1"/>
  <c r="L780" i="1"/>
  <c r="O780" i="1" s="1"/>
  <c r="P775" i="1"/>
  <c r="O775" i="1"/>
  <c r="N775" i="1"/>
  <c r="N772" i="1" s="1"/>
  <c r="P774" i="1"/>
  <c r="O774" i="1"/>
  <c r="P773" i="1"/>
  <c r="N773" i="1"/>
  <c r="M773" i="1"/>
  <c r="L773" i="1"/>
  <c r="O773" i="1" s="1"/>
  <c r="P772" i="1"/>
  <c r="O772" i="1"/>
  <c r="M772" i="1"/>
  <c r="L772" i="1"/>
  <c r="P771" i="1"/>
  <c r="O771" i="1"/>
  <c r="N771" i="1"/>
  <c r="N770" i="1" s="1"/>
  <c r="M771" i="1"/>
  <c r="L771" i="1"/>
  <c r="L770" i="1" s="1"/>
  <c r="O770" i="1" s="1"/>
  <c r="M770" i="1"/>
  <c r="P770" i="1" s="1"/>
  <c r="K769" i="1"/>
  <c r="J769" i="1"/>
  <c r="P766" i="1"/>
  <c r="O766" i="1"/>
  <c r="P765" i="1"/>
  <c r="O765" i="1"/>
  <c r="N764" i="1"/>
  <c r="M764" i="1"/>
  <c r="P764" i="1" s="1"/>
  <c r="L764" i="1"/>
  <c r="O764" i="1" s="1"/>
  <c r="P759" i="1"/>
  <c r="O759" i="1"/>
  <c r="N759" i="1"/>
  <c r="N756" i="1" s="1"/>
  <c r="P758" i="1"/>
  <c r="O758" i="1"/>
  <c r="P757" i="1"/>
  <c r="N757" i="1"/>
  <c r="M757" i="1"/>
  <c r="L757" i="1"/>
  <c r="O757" i="1" s="1"/>
  <c r="P756" i="1"/>
  <c r="O756" i="1"/>
  <c r="M756" i="1"/>
  <c r="L756" i="1"/>
  <c r="P755" i="1"/>
  <c r="O755" i="1"/>
  <c r="N755" i="1"/>
  <c r="M755" i="1"/>
  <c r="L755" i="1"/>
  <c r="L754" i="1" s="1"/>
  <c r="O754" i="1" s="1"/>
  <c r="N754" i="1"/>
  <c r="M754" i="1"/>
  <c r="P754" i="1" s="1"/>
  <c r="K753" i="1"/>
  <c r="J753" i="1"/>
  <c r="P749" i="1"/>
  <c r="O749" i="1"/>
  <c r="P748" i="1"/>
  <c r="O748" i="1"/>
  <c r="N747" i="1"/>
  <c r="M747" i="1"/>
  <c r="P747" i="1" s="1"/>
  <c r="L747" i="1"/>
  <c r="O747" i="1" s="1"/>
  <c r="P742" i="1"/>
  <c r="O742" i="1"/>
  <c r="N742" i="1"/>
  <c r="N739" i="1" s="1"/>
  <c r="P741" i="1"/>
  <c r="O741" i="1"/>
  <c r="P740" i="1"/>
  <c r="N740" i="1"/>
  <c r="M740" i="1"/>
  <c r="L740" i="1"/>
  <c r="O740" i="1" s="1"/>
  <c r="P739" i="1"/>
  <c r="O739" i="1"/>
  <c r="M739" i="1"/>
  <c r="L739" i="1"/>
  <c r="P738" i="1"/>
  <c r="O738" i="1"/>
  <c r="N738" i="1"/>
  <c r="M738" i="1"/>
  <c r="L738" i="1"/>
  <c r="L737" i="1" s="1"/>
  <c r="O737" i="1" s="1"/>
  <c r="N737" i="1"/>
  <c r="M737" i="1"/>
  <c r="P737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P690" i="1"/>
  <c r="L690" i="1"/>
  <c r="L688" i="1" s="1"/>
  <c r="P688" i="1"/>
  <c r="M688" i="1"/>
  <c r="P687" i="1"/>
  <c r="M687" i="1"/>
  <c r="O686" i="1"/>
  <c r="N686" i="1"/>
  <c r="M686" i="1"/>
  <c r="P686" i="1" s="1"/>
  <c r="L686" i="1"/>
  <c r="M685" i="1"/>
  <c r="P685" i="1" s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N665" i="1"/>
  <c r="M665" i="1"/>
  <c r="L665" i="1"/>
  <c r="O665" i="1" s="1"/>
  <c r="N664" i="1"/>
  <c r="N663" i="1"/>
  <c r="N662" i="1"/>
  <c r="N661" i="1"/>
  <c r="P660" i="1"/>
  <c r="L660" i="1"/>
  <c r="P659" i="1"/>
  <c r="O659" i="1"/>
  <c r="P658" i="1"/>
  <c r="M658" i="1"/>
  <c r="P657" i="1"/>
  <c r="M657" i="1"/>
  <c r="O656" i="1"/>
  <c r="N656" i="1"/>
  <c r="M656" i="1"/>
  <c r="L656" i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P639" i="1"/>
  <c r="N639" i="1"/>
  <c r="M639" i="1"/>
  <c r="N638" i="1"/>
  <c r="N637" i="1"/>
  <c r="N636" i="1"/>
  <c r="N635" i="1"/>
  <c r="P634" i="1"/>
  <c r="L634" i="1"/>
  <c r="P633" i="1"/>
  <c r="O633" i="1"/>
  <c r="M632" i="1"/>
  <c r="P632" i="1" s="1"/>
  <c r="P631" i="1"/>
  <c r="M631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N555" i="1"/>
  <c r="M555" i="1"/>
  <c r="N554" i="1"/>
  <c r="N553" i="1"/>
  <c r="N552" i="1"/>
  <c r="N551" i="1"/>
  <c r="N550" i="1"/>
  <c r="P549" i="1"/>
  <c r="L549" i="1"/>
  <c r="P548" i="1"/>
  <c r="O548" i="1"/>
  <c r="M547" i="1"/>
  <c r="P547" i="1" s="1"/>
  <c r="P546" i="1"/>
  <c r="M546" i="1"/>
  <c r="N545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P535" i="1"/>
  <c r="L535" i="1"/>
  <c r="O535" i="1" s="1"/>
  <c r="P534" i="1"/>
  <c r="O534" i="1"/>
  <c r="N533" i="1"/>
  <c r="M533" i="1"/>
  <c r="P533" i="1" s="1"/>
  <c r="N532" i="1"/>
  <c r="N531" i="1"/>
  <c r="N530" i="1"/>
  <c r="N529" i="1"/>
  <c r="P528" i="1"/>
  <c r="L528" i="1"/>
  <c r="L526" i="1" s="1"/>
  <c r="P527" i="1"/>
  <c r="O527" i="1"/>
  <c r="P526" i="1"/>
  <c r="M526" i="1"/>
  <c r="M525" i="1"/>
  <c r="P525" i="1" s="1"/>
  <c r="P524" i="1"/>
  <c r="N524" i="1"/>
  <c r="M524" i="1"/>
  <c r="L524" i="1"/>
  <c r="O524" i="1" s="1"/>
  <c r="K517" i="1"/>
  <c r="J517" i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P506" i="1"/>
  <c r="O506" i="1"/>
  <c r="P505" i="1"/>
  <c r="M505" i="1"/>
  <c r="L505" i="1"/>
  <c r="O505" i="1" s="1"/>
  <c r="M504" i="1"/>
  <c r="P504" i="1" s="1"/>
  <c r="L504" i="1"/>
  <c r="P503" i="1"/>
  <c r="N503" i="1"/>
  <c r="M503" i="1"/>
  <c r="L503" i="1"/>
  <c r="O503" i="1" s="1"/>
  <c r="M502" i="1"/>
  <c r="P502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N477" i="1"/>
  <c r="M477" i="1"/>
  <c r="P477" i="1" s="1"/>
  <c r="N476" i="1"/>
  <c r="N475" i="1"/>
  <c r="N474" i="1"/>
  <c r="N473" i="1"/>
  <c r="P472" i="1"/>
  <c r="L472" i="1"/>
  <c r="P471" i="1"/>
  <c r="O471" i="1"/>
  <c r="P470" i="1"/>
  <c r="M470" i="1"/>
  <c r="M469" i="1"/>
  <c r="P469" i="1" s="1"/>
  <c r="P468" i="1"/>
  <c r="N468" i="1"/>
  <c r="M468" i="1"/>
  <c r="L468" i="1"/>
  <c r="M467" i="1"/>
  <c r="P467" i="1" s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K458" i="1"/>
  <c r="P456" i="1"/>
  <c r="L456" i="1"/>
  <c r="L454" i="1" s="1"/>
  <c r="O454" i="1" s="1"/>
  <c r="P455" i="1"/>
  <c r="O455" i="1"/>
  <c r="N454" i="1"/>
  <c r="M454" i="1"/>
  <c r="P454" i="1" s="1"/>
  <c r="N453" i="1"/>
  <c r="N452" i="1"/>
  <c r="N451" i="1"/>
  <c r="N450" i="1"/>
  <c r="P449" i="1"/>
  <c r="L449" i="1"/>
  <c r="P448" i="1"/>
  <c r="O448" i="1"/>
  <c r="M447" i="1"/>
  <c r="P447" i="1" s="1"/>
  <c r="P446" i="1"/>
  <c r="M446" i="1"/>
  <c r="O445" i="1"/>
  <c r="N445" i="1"/>
  <c r="M445" i="1"/>
  <c r="P445" i="1" s="1"/>
  <c r="L445" i="1"/>
  <c r="M444" i="1"/>
  <c r="P444" i="1" s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L429" i="1" s="1"/>
  <c r="O429" i="1" s="1"/>
  <c r="P430" i="1"/>
  <c r="O430" i="1"/>
  <c r="P429" i="1"/>
  <c r="N429" i="1"/>
  <c r="M429" i="1"/>
  <c r="N428" i="1"/>
  <c r="N427" i="1"/>
  <c r="N426" i="1"/>
  <c r="N425" i="1"/>
  <c r="P424" i="1"/>
  <c r="L424" i="1"/>
  <c r="P423" i="1"/>
  <c r="O423" i="1"/>
  <c r="P422" i="1"/>
  <c r="M422" i="1"/>
  <c r="M421" i="1"/>
  <c r="P420" i="1"/>
  <c r="N420" i="1"/>
  <c r="M420" i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O410" i="1" s="1"/>
  <c r="P409" i="1"/>
  <c r="O409" i="1"/>
  <c r="N407" i="1"/>
  <c r="N405" i="1" s="1"/>
  <c r="M407" i="1"/>
  <c r="P407" i="1" s="1"/>
  <c r="L407" i="1"/>
  <c r="P406" i="1"/>
  <c r="O406" i="1"/>
  <c r="N403" i="1"/>
  <c r="M403" i="1"/>
  <c r="L403" i="1"/>
  <c r="O403" i="1" s="1"/>
  <c r="J400" i="1"/>
  <c r="J388" i="1" s="1"/>
  <c r="I400" i="1"/>
  <c r="K400" i="1" s="1"/>
  <c r="J399" i="1"/>
  <c r="I399" i="1"/>
  <c r="K399" i="1" s="1"/>
  <c r="N397" i="1"/>
  <c r="N395" i="1" s="1"/>
  <c r="M397" i="1"/>
  <c r="P397" i="1" s="1"/>
  <c r="L397" i="1"/>
  <c r="O397" i="1" s="1"/>
  <c r="P396" i="1"/>
  <c r="O396" i="1"/>
  <c r="N394" i="1"/>
  <c r="N392" i="1" s="1"/>
  <c r="M394" i="1"/>
  <c r="P394" i="1" s="1"/>
  <c r="L394" i="1"/>
  <c r="P393" i="1"/>
  <c r="O393" i="1"/>
  <c r="P390" i="1"/>
  <c r="N390" i="1"/>
  <c r="M390" i="1"/>
  <c r="L390" i="1"/>
  <c r="O390" i="1" s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P352" i="1"/>
  <c r="O352" i="1"/>
  <c r="N350" i="1"/>
  <c r="N348" i="1" s="1"/>
  <c r="M350" i="1"/>
  <c r="L350" i="1"/>
  <c r="P349" i="1"/>
  <c r="O349" i="1"/>
  <c r="N346" i="1"/>
  <c r="M346" i="1"/>
  <c r="L346" i="1"/>
  <c r="O346" i="1" s="1"/>
  <c r="J343" i="1"/>
  <c r="J342" i="1"/>
  <c r="J341" i="1"/>
  <c r="J340" i="1"/>
  <c r="I340" i="1"/>
  <c r="J338" i="1"/>
  <c r="I338" i="1"/>
  <c r="N336" i="1"/>
  <c r="N334" i="1" s="1"/>
  <c r="M336" i="1"/>
  <c r="P336" i="1" s="1"/>
  <c r="L336" i="1"/>
  <c r="P335" i="1"/>
  <c r="O335" i="1"/>
  <c r="N333" i="1"/>
  <c r="N331" i="1" s="1"/>
  <c r="M333" i="1"/>
  <c r="M331" i="1" s="1"/>
  <c r="L333" i="1"/>
  <c r="P332" i="1"/>
  <c r="O332" i="1"/>
  <c r="N329" i="1"/>
  <c r="M329" i="1"/>
  <c r="L329" i="1"/>
  <c r="O329" i="1" s="1"/>
  <c r="I327" i="1"/>
  <c r="J325" i="1"/>
  <c r="J314" i="1" s="1"/>
  <c r="I325" i="1"/>
  <c r="I314" i="1" s="1"/>
  <c r="N323" i="1"/>
  <c r="N321" i="1" s="1"/>
  <c r="M323" i="1"/>
  <c r="M321" i="1" s="1"/>
  <c r="P321" i="1" s="1"/>
  <c r="L323" i="1"/>
  <c r="L321" i="1" s="1"/>
  <c r="O321" i="1" s="1"/>
  <c r="P322" i="1"/>
  <c r="O322" i="1"/>
  <c r="N320" i="1"/>
  <c r="N318" i="1" s="1"/>
  <c r="M320" i="1"/>
  <c r="M318" i="1" s="1"/>
  <c r="L320" i="1"/>
  <c r="P319" i="1"/>
  <c r="O319" i="1"/>
  <c r="P316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P306" i="1" s="1"/>
  <c r="L306" i="1"/>
  <c r="O306" i="1" s="1"/>
  <c r="P305" i="1"/>
  <c r="O305" i="1"/>
  <c r="N303" i="1"/>
  <c r="N301" i="1" s="1"/>
  <c r="M303" i="1"/>
  <c r="L303" i="1"/>
  <c r="L301" i="1" s="1"/>
  <c r="P302" i="1"/>
  <c r="O302" i="1"/>
  <c r="P299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J276" i="1" s="1"/>
  <c r="I287" i="1"/>
  <c r="I276" i="1" s="1"/>
  <c r="N285" i="1"/>
  <c r="N283" i="1" s="1"/>
  <c r="M285" i="1"/>
  <c r="P285" i="1" s="1"/>
  <c r="L285" i="1"/>
  <c r="O285" i="1" s="1"/>
  <c r="P284" i="1"/>
  <c r="O284" i="1"/>
  <c r="N282" i="1"/>
  <c r="N280" i="1" s="1"/>
  <c r="M282" i="1"/>
  <c r="L282" i="1"/>
  <c r="P281" i="1"/>
  <c r="O281" i="1"/>
  <c r="P278" i="1"/>
  <c r="O278" i="1"/>
  <c r="N278" i="1"/>
  <c r="M278" i="1"/>
  <c r="L278" i="1"/>
  <c r="J271" i="1"/>
  <c r="J260" i="1" s="1"/>
  <c r="I271" i="1"/>
  <c r="I260" i="1" s="1"/>
  <c r="N269" i="1"/>
  <c r="N267" i="1" s="1"/>
  <c r="M269" i="1"/>
  <c r="L269" i="1"/>
  <c r="O269" i="1" s="1"/>
  <c r="P268" i="1"/>
  <c r="O268" i="1"/>
  <c r="N266" i="1"/>
  <c r="N264" i="1" s="1"/>
  <c r="M266" i="1"/>
  <c r="M264" i="1" s="1"/>
  <c r="L266" i="1"/>
  <c r="P265" i="1"/>
  <c r="O265" i="1"/>
  <c r="P262" i="1"/>
  <c r="O262" i="1"/>
  <c r="N262" i="1"/>
  <c r="M262" i="1"/>
  <c r="L262" i="1"/>
  <c r="J258" i="1"/>
  <c r="I258" i="1"/>
  <c r="J257" i="1"/>
  <c r="I257" i="1"/>
  <c r="J255" i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P189" i="1" s="1"/>
  <c r="L189" i="1"/>
  <c r="L187" i="1" s="1"/>
  <c r="O187" i="1" s="1"/>
  <c r="P188" i="1"/>
  <c r="O188" i="1"/>
  <c r="N186" i="1"/>
  <c r="M186" i="1"/>
  <c r="L186" i="1"/>
  <c r="L184" i="1" s="1"/>
  <c r="P185" i="1"/>
  <c r="O185" i="1"/>
  <c r="O182" i="1"/>
  <c r="N182" i="1"/>
  <c r="M182" i="1"/>
  <c r="L182" i="1"/>
  <c r="J177" i="1"/>
  <c r="J176" i="1"/>
  <c r="J174" i="1" s="1"/>
  <c r="J164" i="1" s="1"/>
  <c r="I176" i="1"/>
  <c r="I174" i="1" s="1"/>
  <c r="I164" i="1" s="1"/>
  <c r="N173" i="1"/>
  <c r="N171" i="1" s="1"/>
  <c r="M173" i="1"/>
  <c r="L173" i="1"/>
  <c r="P172" i="1"/>
  <c r="O172" i="1"/>
  <c r="N170" i="1"/>
  <c r="M170" i="1"/>
  <c r="L170" i="1"/>
  <c r="L168" i="1" s="1"/>
  <c r="P169" i="1"/>
  <c r="O169" i="1"/>
  <c r="N166" i="1"/>
  <c r="M166" i="1"/>
  <c r="P166" i="1" s="1"/>
  <c r="L166" i="1"/>
  <c r="J159" i="1"/>
  <c r="J148" i="1" s="1"/>
  <c r="I159" i="1"/>
  <c r="I148" i="1" s="1"/>
  <c r="N157" i="1"/>
  <c r="N155" i="1" s="1"/>
  <c r="M157" i="1"/>
  <c r="P157" i="1" s="1"/>
  <c r="L157" i="1"/>
  <c r="O157" i="1" s="1"/>
  <c r="P156" i="1"/>
  <c r="O156" i="1"/>
  <c r="N154" i="1"/>
  <c r="N152" i="1" s="1"/>
  <c r="M154" i="1"/>
  <c r="L154" i="1"/>
  <c r="P153" i="1"/>
  <c r="O153" i="1"/>
  <c r="P150" i="1"/>
  <c r="O150" i="1"/>
  <c r="N150" i="1"/>
  <c r="M150" i="1"/>
  <c r="L150" i="1"/>
  <c r="J146" i="1"/>
  <c r="J130" i="1" s="1"/>
  <c r="I146" i="1"/>
  <c r="I130" i="1" s="1"/>
  <c r="J145" i="1"/>
  <c r="I145" i="1"/>
  <c r="J144" i="1"/>
  <c r="I144" i="1"/>
  <c r="J143" i="1"/>
  <c r="J131" i="1" s="1"/>
  <c r="J142" i="1"/>
  <c r="N140" i="1"/>
  <c r="N138" i="1" s="1"/>
  <c r="M140" i="1"/>
  <c r="M138" i="1" s="1"/>
  <c r="L140" i="1"/>
  <c r="P139" i="1"/>
  <c r="O139" i="1"/>
  <c r="N137" i="1"/>
  <c r="N135" i="1" s="1"/>
  <c r="M137" i="1"/>
  <c r="M135" i="1" s="1"/>
  <c r="L137" i="1"/>
  <c r="P136" i="1"/>
  <c r="O136" i="1"/>
  <c r="P133" i="1"/>
  <c r="N133" i="1"/>
  <c r="M133" i="1"/>
  <c r="L133" i="1"/>
  <c r="O133" i="1" s="1"/>
  <c r="N127" i="1"/>
  <c r="M127" i="1"/>
  <c r="M125" i="1" s="1"/>
  <c r="L127" i="1"/>
  <c r="L125" i="1" s="1"/>
  <c r="P126" i="1"/>
  <c r="O126" i="1"/>
  <c r="N124" i="1"/>
  <c r="N122" i="1" s="1"/>
  <c r="M124" i="1"/>
  <c r="P124" i="1" s="1"/>
  <c r="L124" i="1"/>
  <c r="L122" i="1" s="1"/>
  <c r="O122" i="1" s="1"/>
  <c r="P123" i="1"/>
  <c r="O123" i="1"/>
  <c r="O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98" i="1"/>
  <c r="I86" i="1" s="1"/>
  <c r="N96" i="1"/>
  <c r="N94" i="1" s="1"/>
  <c r="M96" i="1"/>
  <c r="M94" i="1" s="1"/>
  <c r="P94" i="1" s="1"/>
  <c r="L96" i="1"/>
  <c r="L94" i="1" s="1"/>
  <c r="O94" i="1" s="1"/>
  <c r="P95" i="1"/>
  <c r="O95" i="1"/>
  <c r="N93" i="1"/>
  <c r="M93" i="1"/>
  <c r="M91" i="1" s="1"/>
  <c r="L93" i="1"/>
  <c r="L91" i="1" s="1"/>
  <c r="P92" i="1"/>
  <c r="O92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M71" i="1"/>
  <c r="L71" i="1"/>
  <c r="L69" i="1" s="1"/>
  <c r="P70" i="1"/>
  <c r="O70" i="1"/>
  <c r="O67" i="1"/>
  <c r="N67" i="1"/>
  <c r="M67" i="1"/>
  <c r="L67" i="1"/>
  <c r="N61" i="1"/>
  <c r="N59" i="1" s="1"/>
  <c r="M61" i="1"/>
  <c r="M59" i="1" s="1"/>
  <c r="L61" i="1"/>
  <c r="P60" i="1"/>
  <c r="O60" i="1"/>
  <c r="N58" i="1"/>
  <c r="N56" i="1" s="1"/>
  <c r="M58" i="1"/>
  <c r="M56" i="1" s="1"/>
  <c r="L58" i="1"/>
  <c r="P57" i="1"/>
  <c r="O57" i="1"/>
  <c r="P54" i="1"/>
  <c r="N54" i="1"/>
  <c r="M54" i="1"/>
  <c r="L54" i="1"/>
  <c r="O54" i="1" s="1"/>
  <c r="N49" i="1"/>
  <c r="N47" i="1" s="1"/>
  <c r="M49" i="1"/>
  <c r="P49" i="1" s="1"/>
  <c r="L49" i="1"/>
  <c r="O49" i="1" s="1"/>
  <c r="P48" i="1"/>
  <c r="O48" i="1"/>
  <c r="N46" i="1"/>
  <c r="M46" i="1"/>
  <c r="M44" i="1" s="1"/>
  <c r="L46" i="1"/>
  <c r="P45" i="1"/>
  <c r="O45" i="1"/>
  <c r="N42" i="1"/>
  <c r="M42" i="1"/>
  <c r="P42" i="1" s="1"/>
  <c r="L42" i="1"/>
  <c r="O42" i="1" s="1"/>
  <c r="P36" i="1"/>
  <c r="N36" i="1"/>
  <c r="M36" i="1"/>
  <c r="P35" i="1"/>
  <c r="O35" i="1"/>
  <c r="N35" i="1"/>
  <c r="M35" i="1"/>
  <c r="M34" i="1" s="1"/>
  <c r="P34" i="1" s="1"/>
  <c r="L35" i="1"/>
  <c r="N34" i="1"/>
  <c r="M33" i="1"/>
  <c r="N32" i="1"/>
  <c r="M32" i="1"/>
  <c r="M12" i="1" s="1"/>
  <c r="L32" i="1"/>
  <c r="N29" i="1"/>
  <c r="N25" i="1"/>
  <c r="M25" i="1"/>
  <c r="M19" i="1" s="1"/>
  <c r="L25" i="1"/>
  <c r="P22" i="1"/>
  <c r="O22" i="1"/>
  <c r="N22" i="1"/>
  <c r="M22" i="1"/>
  <c r="L22" i="1"/>
  <c r="N19" i="1"/>
  <c r="L19" i="1"/>
  <c r="O19" i="1" s="1"/>
  <c r="N15" i="1"/>
  <c r="N12" i="1"/>
  <c r="N9" i="1"/>
  <c r="O546" i="17" l="1"/>
  <c r="O261" i="14"/>
  <c r="L132" i="10"/>
  <c r="O132" i="10" s="1"/>
  <c r="L523" i="16"/>
  <c r="O523" i="16" s="1"/>
  <c r="M119" i="17"/>
  <c r="P119" i="17" s="1"/>
  <c r="P167" i="16"/>
  <c r="P59" i="18"/>
  <c r="L315" i="17"/>
  <c r="O315" i="17" s="1"/>
  <c r="P279" i="18"/>
  <c r="P315" i="18"/>
  <c r="K559" i="16"/>
  <c r="O330" i="17"/>
  <c r="K417" i="17"/>
  <c r="O317" i="18"/>
  <c r="L786" i="18"/>
  <c r="O786" i="18" s="1"/>
  <c r="L789" i="2"/>
  <c r="O789" i="2" s="1"/>
  <c r="O277" i="18"/>
  <c r="O55" i="16"/>
  <c r="L30" i="13"/>
  <c r="O30" i="13" s="1"/>
  <c r="O68" i="16"/>
  <c r="O36" i="13"/>
  <c r="P263" i="12"/>
  <c r="P183" i="18"/>
  <c r="P44" i="16"/>
  <c r="L467" i="18"/>
  <c r="O467" i="18" s="1"/>
  <c r="O167" i="17"/>
  <c r="L402" i="14"/>
  <c r="O402" i="14" s="1"/>
  <c r="K364" i="17"/>
  <c r="L34" i="18"/>
  <c r="O34" i="18" s="1"/>
  <c r="O43" i="16"/>
  <c r="O279" i="18"/>
  <c r="O55" i="18"/>
  <c r="K288" i="18"/>
  <c r="P263" i="13"/>
  <c r="P66" i="16"/>
  <c r="N20" i="17"/>
  <c r="N18" i="17" s="1"/>
  <c r="O69" i="18"/>
  <c r="O263" i="13"/>
  <c r="L298" i="15"/>
  <c r="O298" i="15" s="1"/>
  <c r="P183" i="16"/>
  <c r="O134" i="18"/>
  <c r="O90" i="18"/>
  <c r="L20" i="18"/>
  <c r="L18" i="18" s="1"/>
  <c r="K364" i="18"/>
  <c r="P132" i="18"/>
  <c r="P43" i="16"/>
  <c r="P134" i="18"/>
  <c r="L544" i="11"/>
  <c r="O544" i="11" s="1"/>
  <c r="O277" i="17"/>
  <c r="L30" i="18"/>
  <c r="O30" i="18" s="1"/>
  <c r="P41" i="18"/>
  <c r="P167" i="17"/>
  <c r="O688" i="18"/>
  <c r="O183" i="18"/>
  <c r="N181" i="18"/>
  <c r="N24" i="18"/>
  <c r="N21" i="17"/>
  <c r="N14" i="18"/>
  <c r="P391" i="15"/>
  <c r="O183" i="15"/>
  <c r="O348" i="17"/>
  <c r="M402" i="18"/>
  <c r="P402" i="18" s="1"/>
  <c r="O55" i="15"/>
  <c r="O90" i="17"/>
  <c r="K364" i="16"/>
  <c r="O167" i="15"/>
  <c r="N41" i="16"/>
  <c r="P41" i="16" s="1"/>
  <c r="M165" i="17"/>
  <c r="P165" i="17" s="1"/>
  <c r="P165" i="16"/>
  <c r="O300" i="17"/>
  <c r="L119" i="18"/>
  <c r="O119" i="18" s="1"/>
  <c r="P348" i="17"/>
  <c r="P66" i="18"/>
  <c r="O330" i="18"/>
  <c r="P68" i="18"/>
  <c r="L31" i="18"/>
  <c r="O31" i="18" s="1"/>
  <c r="I164" i="17"/>
  <c r="K164" i="17" s="1"/>
  <c r="P43" i="18"/>
  <c r="M21" i="18"/>
  <c r="I64" i="18"/>
  <c r="K64" i="18" s="1"/>
  <c r="O421" i="16"/>
  <c r="K433" i="17"/>
  <c r="M389" i="17"/>
  <c r="P389" i="17" s="1"/>
  <c r="O23" i="18"/>
  <c r="P298" i="18"/>
  <c r="O263" i="18"/>
  <c r="O546" i="16"/>
  <c r="O261" i="16"/>
  <c r="P347" i="18"/>
  <c r="P181" i="18"/>
  <c r="L13" i="18"/>
  <c r="L11" i="18" s="1"/>
  <c r="P300" i="18"/>
  <c r="P351" i="18"/>
  <c r="P328" i="18"/>
  <c r="P261" i="18"/>
  <c r="K433" i="18"/>
  <c r="O68" i="15"/>
  <c r="O298" i="17"/>
  <c r="K288" i="9"/>
  <c r="M277" i="18"/>
  <c r="P277" i="18" s="1"/>
  <c r="I418" i="16"/>
  <c r="K418" i="16" s="1"/>
  <c r="L132" i="16"/>
  <c r="O132" i="16" s="1"/>
  <c r="O261" i="18"/>
  <c r="P263" i="18"/>
  <c r="P69" i="18"/>
  <c r="P330" i="18"/>
  <c r="M119" i="18"/>
  <c r="P119" i="18" s="1"/>
  <c r="L53" i="18"/>
  <c r="O53" i="18" s="1"/>
  <c r="K417" i="18"/>
  <c r="P23" i="18"/>
  <c r="P13" i="17"/>
  <c r="O347" i="9"/>
  <c r="P279" i="11"/>
  <c r="K275" i="14"/>
  <c r="M21" i="17"/>
  <c r="P23" i="17"/>
  <c r="L88" i="17"/>
  <c r="O88" i="17" s="1"/>
  <c r="P90" i="17"/>
  <c r="P167" i="18"/>
  <c r="N328" i="17"/>
  <c r="O328" i="17" s="1"/>
  <c r="N88" i="18"/>
  <c r="O88" i="18" s="1"/>
  <c r="P90" i="18"/>
  <c r="L389" i="18"/>
  <c r="O389" i="18" s="1"/>
  <c r="O391" i="18"/>
  <c r="P184" i="14"/>
  <c r="L30" i="15"/>
  <c r="O30" i="15" s="1"/>
  <c r="P68" i="16"/>
  <c r="O279" i="17"/>
  <c r="P279" i="17"/>
  <c r="P347" i="16"/>
  <c r="O546" i="18"/>
  <c r="O167" i="18"/>
  <c r="P183" i="17"/>
  <c r="O68" i="18"/>
  <c r="P300" i="16"/>
  <c r="P88" i="17"/>
  <c r="O165" i="15"/>
  <c r="M132" i="17"/>
  <c r="P132" i="17" s="1"/>
  <c r="P317" i="18"/>
  <c r="M20" i="18"/>
  <c r="M18" i="18" s="1"/>
  <c r="O347" i="12"/>
  <c r="O66" i="15"/>
  <c r="L181" i="18"/>
  <c r="O181" i="18" s="1"/>
  <c r="K237" i="18"/>
  <c r="I226" i="18"/>
  <c r="P419" i="18"/>
  <c r="O29" i="18"/>
  <c r="O19" i="18"/>
  <c r="P165" i="18"/>
  <c r="K77" i="18"/>
  <c r="I65" i="18"/>
  <c r="K65" i="18" s="1"/>
  <c r="O631" i="18"/>
  <c r="L629" i="18"/>
  <c r="O629" i="18" s="1"/>
  <c r="K543" i="18"/>
  <c r="L165" i="18"/>
  <c r="O165" i="18" s="1"/>
  <c r="O66" i="18"/>
  <c r="N9" i="18"/>
  <c r="L181" i="15"/>
  <c r="O181" i="15" s="1"/>
  <c r="P43" i="17"/>
  <c r="L66" i="17"/>
  <c r="O66" i="17" s="1"/>
  <c r="O687" i="18"/>
  <c r="L685" i="18"/>
  <c r="O685" i="18" s="1"/>
  <c r="P391" i="18"/>
  <c r="M389" i="18"/>
  <c r="P389" i="18" s="1"/>
  <c r="N149" i="18"/>
  <c r="O149" i="18" s="1"/>
  <c r="O151" i="18"/>
  <c r="N414" i="18"/>
  <c r="P55" i="18"/>
  <c r="M53" i="18"/>
  <c r="P151" i="18"/>
  <c r="L149" i="17"/>
  <c r="O149" i="17" s="1"/>
  <c r="K785" i="17"/>
  <c r="O261" i="17"/>
  <c r="L298" i="18"/>
  <c r="O298" i="18" s="1"/>
  <c r="O300" i="18"/>
  <c r="O348" i="18"/>
  <c r="O15" i="18"/>
  <c r="O328" i="18"/>
  <c r="P91" i="18"/>
  <c r="M28" i="18"/>
  <c r="P28" i="18" s="1"/>
  <c r="P29" i="18"/>
  <c r="P26" i="18"/>
  <c r="M16" i="18"/>
  <c r="O658" i="17"/>
  <c r="L389" i="17"/>
  <c r="O389" i="17" s="1"/>
  <c r="P184" i="17"/>
  <c r="O43" i="17"/>
  <c r="L227" i="17"/>
  <c r="L523" i="17"/>
  <c r="O523" i="17" s="1"/>
  <c r="P545" i="18"/>
  <c r="M544" i="18"/>
  <c r="P544" i="18" s="1"/>
  <c r="J522" i="18"/>
  <c r="K522" i="18" s="1"/>
  <c r="K537" i="18"/>
  <c r="O446" i="18"/>
  <c r="L444" i="18"/>
  <c r="O444" i="18" s="1"/>
  <c r="L315" i="18"/>
  <c r="O315" i="18" s="1"/>
  <c r="I131" i="18"/>
  <c r="K131" i="18" s="1"/>
  <c r="K143" i="18"/>
  <c r="N345" i="18"/>
  <c r="O347" i="18"/>
  <c r="L402" i="18"/>
  <c r="O402" i="18" s="1"/>
  <c r="L227" i="18"/>
  <c r="O238" i="18"/>
  <c r="L16" i="18"/>
  <c r="O16" i="18" s="1"/>
  <c r="O26" i="18"/>
  <c r="L24" i="18"/>
  <c r="M24" i="18"/>
  <c r="K364" i="14"/>
  <c r="K654" i="15"/>
  <c r="I65" i="15"/>
  <c r="K65" i="15" s="1"/>
  <c r="K76" i="16"/>
  <c r="O347" i="17"/>
  <c r="L31" i="17"/>
  <c r="O31" i="17" s="1"/>
  <c r="O525" i="18"/>
  <c r="L523" i="18"/>
  <c r="O523" i="18" s="1"/>
  <c r="O421" i="18"/>
  <c r="L419" i="18"/>
  <c r="I418" i="18"/>
  <c r="K418" i="18" s="1"/>
  <c r="K434" i="18"/>
  <c r="N20" i="18"/>
  <c r="N18" i="18" s="1"/>
  <c r="N21" i="18"/>
  <c r="O21" i="18" s="1"/>
  <c r="N13" i="18"/>
  <c r="P12" i="18"/>
  <c r="M11" i="18"/>
  <c r="M9" i="18"/>
  <c r="L132" i="18"/>
  <c r="O132" i="18" s="1"/>
  <c r="L41" i="18"/>
  <c r="O43" i="18"/>
  <c r="O12" i="18"/>
  <c r="L9" i="18"/>
  <c r="P53" i="16"/>
  <c r="P345" i="17"/>
  <c r="M298" i="14"/>
  <c r="P298" i="14" s="1"/>
  <c r="L119" i="14"/>
  <c r="O119" i="14" s="1"/>
  <c r="M315" i="15"/>
  <c r="P315" i="15" s="1"/>
  <c r="M119" i="15"/>
  <c r="P119" i="15" s="1"/>
  <c r="L444" i="17"/>
  <c r="O444" i="17" s="1"/>
  <c r="O345" i="17"/>
  <c r="O263" i="16"/>
  <c r="M66" i="17"/>
  <c r="P66" i="17" s="1"/>
  <c r="O263" i="17"/>
  <c r="I64" i="12"/>
  <c r="K64" i="12" s="1"/>
  <c r="O165" i="13"/>
  <c r="P347" i="14"/>
  <c r="O134" i="15"/>
  <c r="N345" i="16"/>
  <c r="P345" i="16" s="1"/>
  <c r="O331" i="17"/>
  <c r="P181" i="17"/>
  <c r="L629" i="17"/>
  <c r="O629" i="17" s="1"/>
  <c r="O391" i="13"/>
  <c r="M402" i="16"/>
  <c r="P402" i="16" s="1"/>
  <c r="J275" i="17"/>
  <c r="K275" i="17" s="1"/>
  <c r="L132" i="17"/>
  <c r="O132" i="17" s="1"/>
  <c r="L165" i="17"/>
  <c r="O165" i="17" s="1"/>
  <c r="L13" i="12"/>
  <c r="L11" i="12" s="1"/>
  <c r="O167" i="9"/>
  <c r="P149" i="15"/>
  <c r="O56" i="17"/>
  <c r="P300" i="12"/>
  <c r="P263" i="15"/>
  <c r="I64" i="15"/>
  <c r="K64" i="15" s="1"/>
  <c r="P181" i="15"/>
  <c r="O151" i="16"/>
  <c r="P44" i="17"/>
  <c r="L402" i="17"/>
  <c r="O402" i="17" s="1"/>
  <c r="P300" i="17"/>
  <c r="M298" i="17"/>
  <c r="P298" i="17" s="1"/>
  <c r="K76" i="9"/>
  <c r="O330" i="13"/>
  <c r="O328" i="13"/>
  <c r="P183" i="15"/>
  <c r="O347" i="16"/>
  <c r="P121" i="16"/>
  <c r="O391" i="16"/>
  <c r="P317" i="17"/>
  <c r="M315" i="17"/>
  <c r="P315" i="17" s="1"/>
  <c r="O66" i="16"/>
  <c r="L685" i="17"/>
  <c r="O685" i="17" s="1"/>
  <c r="L119" i="17"/>
  <c r="O119" i="17" s="1"/>
  <c r="N24" i="17"/>
  <c r="O24" i="17" s="1"/>
  <c r="P330" i="12"/>
  <c r="O347" i="13"/>
  <c r="L315" i="16"/>
  <c r="O315" i="16" s="1"/>
  <c r="L629" i="16"/>
  <c r="O629" i="16" s="1"/>
  <c r="O167" i="16"/>
  <c r="M277" i="17"/>
  <c r="P277" i="17" s="1"/>
  <c r="P347" i="17"/>
  <c r="P263" i="17"/>
  <c r="M261" i="17"/>
  <c r="P261" i="17" s="1"/>
  <c r="O330" i="12"/>
  <c r="L315" i="14"/>
  <c r="O315" i="14" s="1"/>
  <c r="K433" i="15"/>
  <c r="K364" i="15"/>
  <c r="P347" i="15"/>
  <c r="M181" i="16"/>
  <c r="P181" i="16" s="1"/>
  <c r="L419" i="17"/>
  <c r="O419" i="17" s="1"/>
  <c r="O181" i="17"/>
  <c r="N10" i="17"/>
  <c r="O183" i="17"/>
  <c r="O788" i="17"/>
  <c r="L786" i="17"/>
  <c r="O786" i="17" s="1"/>
  <c r="O347" i="8"/>
  <c r="L389" i="12"/>
  <c r="O389" i="12" s="1"/>
  <c r="P331" i="12"/>
  <c r="P300" i="13"/>
  <c r="L16" i="14"/>
  <c r="L14" i="14" s="1"/>
  <c r="N345" i="15"/>
  <c r="P345" i="15" s="1"/>
  <c r="O88" i="16"/>
  <c r="N20" i="16"/>
  <c r="N18" i="16" s="1"/>
  <c r="P55" i="16"/>
  <c r="M132" i="16"/>
  <c r="P132" i="16" s="1"/>
  <c r="J417" i="16"/>
  <c r="K417" i="16" s="1"/>
  <c r="O9" i="17"/>
  <c r="M16" i="17"/>
  <c r="P26" i="17"/>
  <c r="M24" i="17"/>
  <c r="M20" i="17"/>
  <c r="I226" i="17"/>
  <c r="P404" i="17"/>
  <c r="M402" i="17"/>
  <c r="P402" i="17" s="1"/>
  <c r="P151" i="17"/>
  <c r="M149" i="17"/>
  <c r="P149" i="17" s="1"/>
  <c r="K76" i="17"/>
  <c r="I64" i="17"/>
  <c r="K64" i="17" s="1"/>
  <c r="L30" i="17"/>
  <c r="O30" i="17" s="1"/>
  <c r="O55" i="17"/>
  <c r="N53" i="17"/>
  <c r="P12" i="17"/>
  <c r="M11" i="17"/>
  <c r="M9" i="17"/>
  <c r="L16" i="17"/>
  <c r="O26" i="17"/>
  <c r="M414" i="17"/>
  <c r="P414" i="17" s="1"/>
  <c r="L41" i="17"/>
  <c r="P330" i="15"/>
  <c r="P19" i="17"/>
  <c r="K77" i="17"/>
  <c r="I65" i="17"/>
  <c r="K65" i="17" s="1"/>
  <c r="N11" i="17"/>
  <c r="N9" i="17"/>
  <c r="L655" i="13"/>
  <c r="O655" i="13" s="1"/>
  <c r="P43" i="14"/>
  <c r="N13" i="16"/>
  <c r="N11" i="16" s="1"/>
  <c r="O119" i="16"/>
  <c r="P391" i="16"/>
  <c r="O165" i="16"/>
  <c r="O469" i="17"/>
  <c r="L467" i="17"/>
  <c r="O467" i="17" s="1"/>
  <c r="I418" i="17"/>
  <c r="K418" i="17" s="1"/>
  <c r="K434" i="17"/>
  <c r="P55" i="17"/>
  <c r="M41" i="17"/>
  <c r="O183" i="12"/>
  <c r="N345" i="14"/>
  <c r="P345" i="14" s="1"/>
  <c r="L149" i="14"/>
  <c r="O149" i="14" s="1"/>
  <c r="P90" i="15"/>
  <c r="L20" i="17"/>
  <c r="L13" i="17"/>
  <c r="L21" i="17"/>
  <c r="O23" i="17"/>
  <c r="O29" i="17"/>
  <c r="L34" i="17"/>
  <c r="O34" i="17" s="1"/>
  <c r="P330" i="17"/>
  <c r="M53" i="17"/>
  <c r="O328" i="16"/>
  <c r="P328" i="16"/>
  <c r="O90" i="12"/>
  <c r="O56" i="13"/>
  <c r="O88" i="14"/>
  <c r="O149" i="16"/>
  <c r="P119" i="16"/>
  <c r="O183" i="16"/>
  <c r="O90" i="16"/>
  <c r="O181" i="16"/>
  <c r="L655" i="16"/>
  <c r="O655" i="16" s="1"/>
  <c r="O657" i="16"/>
  <c r="O121" i="16"/>
  <c r="M13" i="11"/>
  <c r="M11" i="11" s="1"/>
  <c r="K559" i="13"/>
  <c r="L523" i="13"/>
  <c r="O523" i="13" s="1"/>
  <c r="L119" i="13"/>
  <c r="O119" i="13" s="1"/>
  <c r="N13" i="13"/>
  <c r="N11" i="13" s="1"/>
  <c r="M315" i="14"/>
  <c r="P315" i="14" s="1"/>
  <c r="K76" i="14"/>
  <c r="O446" i="14"/>
  <c r="O279" i="14"/>
  <c r="L444" i="15"/>
  <c r="O444" i="15" s="1"/>
  <c r="P134" i="15"/>
  <c r="L53" i="16"/>
  <c r="O53" i="16" s="1"/>
  <c r="K417" i="13"/>
  <c r="O33" i="13"/>
  <c r="L132" i="14"/>
  <c r="O132" i="14" s="1"/>
  <c r="I226" i="15"/>
  <c r="K226" i="15" s="1"/>
  <c r="M16" i="15"/>
  <c r="M14" i="15" s="1"/>
  <c r="O631" i="15"/>
  <c r="P151" i="15"/>
  <c r="P184" i="16"/>
  <c r="O280" i="16"/>
  <c r="O788" i="10"/>
  <c r="K785" i="14"/>
  <c r="P43" i="15"/>
  <c r="K174" i="16"/>
  <c r="I164" i="16"/>
  <c r="K164" i="16" s="1"/>
  <c r="O23" i="12"/>
  <c r="L402" i="13"/>
  <c r="O402" i="13" s="1"/>
  <c r="O23" i="13"/>
  <c r="L227" i="14"/>
  <c r="O33" i="14"/>
  <c r="L30" i="14"/>
  <c r="O30" i="14" s="1"/>
  <c r="P261" i="14"/>
  <c r="M315" i="16"/>
  <c r="P315" i="16" s="1"/>
  <c r="L402" i="16"/>
  <c r="O402" i="16" s="1"/>
  <c r="M132" i="14"/>
  <c r="P132" i="14" s="1"/>
  <c r="O26" i="14"/>
  <c r="O184" i="15"/>
  <c r="P330" i="16"/>
  <c r="O330" i="16"/>
  <c r="O469" i="16"/>
  <c r="L467" i="16"/>
  <c r="O467" i="16" s="1"/>
  <c r="P9" i="16"/>
  <c r="O23" i="16"/>
  <c r="L20" i="16"/>
  <c r="L18" i="16" s="1"/>
  <c r="L13" i="16"/>
  <c r="L11" i="16" s="1"/>
  <c r="L21" i="16"/>
  <c r="O21" i="16" s="1"/>
  <c r="K237" i="16"/>
  <c r="I226" i="16"/>
  <c r="O238" i="16"/>
  <c r="L227" i="16"/>
  <c r="O44" i="16"/>
  <c r="N298" i="16"/>
  <c r="P298" i="16" s="1"/>
  <c r="P66" i="15"/>
  <c r="L9" i="16"/>
  <c r="O12" i="16"/>
  <c r="O26" i="16"/>
  <c r="L16" i="16"/>
  <c r="L24" i="16"/>
  <c r="P279" i="16"/>
  <c r="N277" i="16"/>
  <c r="P277" i="16" s="1"/>
  <c r="O279" i="16"/>
  <c r="O263" i="12"/>
  <c r="L66" i="14"/>
  <c r="O66" i="14" s="1"/>
  <c r="P149" i="14"/>
  <c r="M389" i="14"/>
  <c r="P389" i="14" s="1"/>
  <c r="O33" i="15"/>
  <c r="L315" i="15"/>
  <c r="O315" i="15" s="1"/>
  <c r="M414" i="16"/>
  <c r="P414" i="16" s="1"/>
  <c r="O300" i="16"/>
  <c r="L298" i="16"/>
  <c r="P280" i="16"/>
  <c r="P151" i="16"/>
  <c r="M149" i="16"/>
  <c r="P149" i="16" s="1"/>
  <c r="O69" i="16"/>
  <c r="P263" i="16"/>
  <c r="M261" i="16"/>
  <c r="P261" i="16" s="1"/>
  <c r="P26" i="16"/>
  <c r="M16" i="16"/>
  <c r="P301" i="16"/>
  <c r="P168" i="16"/>
  <c r="O419" i="16"/>
  <c r="K143" i="16"/>
  <c r="I131" i="16"/>
  <c r="K131" i="16" s="1"/>
  <c r="P23" i="16"/>
  <c r="M20" i="16"/>
  <c r="M13" i="16"/>
  <c r="M21" i="16"/>
  <c r="P21" i="16" s="1"/>
  <c r="N24" i="16"/>
  <c r="P24" i="16" s="1"/>
  <c r="N16" i="16"/>
  <c r="N14" i="16" s="1"/>
  <c r="O446" i="16"/>
  <c r="L444" i="16"/>
  <c r="O444" i="16" s="1"/>
  <c r="O788" i="14"/>
  <c r="I65" i="16"/>
  <c r="K65" i="16" s="1"/>
  <c r="K77" i="16"/>
  <c r="O33" i="16"/>
  <c r="L30" i="16"/>
  <c r="L31" i="16"/>
  <c r="O31" i="16" s="1"/>
  <c r="P90" i="16"/>
  <c r="M88" i="16"/>
  <c r="O19" i="16"/>
  <c r="O36" i="16"/>
  <c r="L34" i="16"/>
  <c r="O34" i="16" s="1"/>
  <c r="O43" i="15"/>
  <c r="L523" i="15"/>
  <c r="O523" i="15" s="1"/>
  <c r="M328" i="15"/>
  <c r="P328" i="15" s="1"/>
  <c r="K559" i="15"/>
  <c r="P88" i="15"/>
  <c r="P26" i="15"/>
  <c r="O264" i="15"/>
  <c r="O41" i="15"/>
  <c r="L34" i="15"/>
  <c r="O34" i="15" s="1"/>
  <c r="L277" i="15"/>
  <c r="O277" i="15" s="1"/>
  <c r="K143" i="15"/>
  <c r="I131" i="15"/>
  <c r="K131" i="15" s="1"/>
  <c r="M277" i="15"/>
  <c r="P277" i="15" s="1"/>
  <c r="P279" i="15"/>
  <c r="I164" i="15"/>
  <c r="K164" i="15" s="1"/>
  <c r="K174" i="15"/>
  <c r="O546" i="9"/>
  <c r="O347" i="15"/>
  <c r="L345" i="15"/>
  <c r="O345" i="15" s="1"/>
  <c r="O261" i="11"/>
  <c r="M16" i="14"/>
  <c r="M14" i="14" s="1"/>
  <c r="O657" i="15"/>
  <c r="L655" i="15"/>
  <c r="O655" i="15" s="1"/>
  <c r="L402" i="15"/>
  <c r="O402" i="15" s="1"/>
  <c r="O404" i="15"/>
  <c r="P68" i="15"/>
  <c r="L132" i="13"/>
  <c r="O132" i="13" s="1"/>
  <c r="L544" i="15"/>
  <c r="O544" i="15" s="1"/>
  <c r="O546" i="15"/>
  <c r="M402" i="15"/>
  <c r="P402" i="15" s="1"/>
  <c r="P404" i="15"/>
  <c r="P53" i="10"/>
  <c r="O152" i="13"/>
  <c r="K417" i="14"/>
  <c r="P26" i="14"/>
  <c r="O421" i="14"/>
  <c r="L149" i="15"/>
  <c r="O149" i="15" s="1"/>
  <c r="O151" i="15"/>
  <c r="N20" i="15"/>
  <c r="N18" i="15" s="1"/>
  <c r="N13" i="15"/>
  <c r="N21" i="15"/>
  <c r="O421" i="15"/>
  <c r="L419" i="15"/>
  <c r="N53" i="15"/>
  <c r="P55" i="15"/>
  <c r="L165" i="9"/>
  <c r="O165" i="9" s="1"/>
  <c r="L34" i="11"/>
  <c r="O34" i="11" s="1"/>
  <c r="I418" i="12"/>
  <c r="K418" i="12" s="1"/>
  <c r="L389" i="14"/>
  <c r="O389" i="14" s="1"/>
  <c r="O26" i="15"/>
  <c r="L16" i="15"/>
  <c r="P300" i="15"/>
  <c r="M298" i="15"/>
  <c r="P298" i="15" s="1"/>
  <c r="L119" i="15"/>
  <c r="O119" i="15" s="1"/>
  <c r="O121" i="15"/>
  <c r="P15" i="15"/>
  <c r="O15" i="15"/>
  <c r="O23" i="15"/>
  <c r="L20" i="15"/>
  <c r="L13" i="15"/>
  <c r="L21" i="15"/>
  <c r="M41" i="15"/>
  <c r="K364" i="8"/>
  <c r="P167" i="10"/>
  <c r="O301" i="12"/>
  <c r="L544" i="13"/>
  <c r="O544" i="13" s="1"/>
  <c r="P56" i="13"/>
  <c r="L523" i="14"/>
  <c r="O523" i="14" s="1"/>
  <c r="I418" i="15"/>
  <c r="K418" i="15" s="1"/>
  <c r="K434" i="15"/>
  <c r="M9" i="15"/>
  <c r="M165" i="15"/>
  <c r="P165" i="15" s="1"/>
  <c r="P167" i="15"/>
  <c r="L9" i="15"/>
  <c r="N261" i="15"/>
  <c r="P261" i="15" s="1"/>
  <c r="N16" i="15"/>
  <c r="N14" i="15" s="1"/>
  <c r="N24" i="15"/>
  <c r="P24" i="15" s="1"/>
  <c r="O55" i="12"/>
  <c r="O149" i="13"/>
  <c r="I64" i="13"/>
  <c r="K64" i="13" s="1"/>
  <c r="O151" i="13"/>
  <c r="L88" i="15"/>
  <c r="O90" i="15"/>
  <c r="O238" i="15"/>
  <c r="L227" i="15"/>
  <c r="L24" i="15"/>
  <c r="O330" i="15"/>
  <c r="L328" i="15"/>
  <c r="O328" i="15" s="1"/>
  <c r="O167" i="10"/>
  <c r="O544" i="12"/>
  <c r="O685" i="15"/>
  <c r="L261" i="15"/>
  <c r="O263" i="15"/>
  <c r="M28" i="15"/>
  <c r="P28" i="15" s="1"/>
  <c r="P523" i="15"/>
  <c r="M414" i="15"/>
  <c r="P414" i="15" s="1"/>
  <c r="P348" i="15"/>
  <c r="O348" i="15"/>
  <c r="P23" i="15"/>
  <c r="M20" i="15"/>
  <c r="M13" i="15"/>
  <c r="O29" i="15"/>
  <c r="O469" i="15"/>
  <c r="L467" i="15"/>
  <c r="O467" i="15" s="1"/>
  <c r="O391" i="15"/>
  <c r="L389" i="15"/>
  <c r="O389" i="15" s="1"/>
  <c r="M21" i="15"/>
  <c r="L277" i="13"/>
  <c r="O277" i="13" s="1"/>
  <c r="M119" i="14"/>
  <c r="P119" i="14" s="1"/>
  <c r="L298" i="14"/>
  <c r="O298" i="14" s="1"/>
  <c r="N277" i="14"/>
  <c r="O277" i="14" s="1"/>
  <c r="O168" i="14"/>
  <c r="P345" i="11"/>
  <c r="O184" i="14"/>
  <c r="L629" i="11"/>
  <c r="O629" i="11" s="1"/>
  <c r="O525" i="10"/>
  <c r="L655" i="11"/>
  <c r="O655" i="11" s="1"/>
  <c r="P183" i="11"/>
  <c r="L261" i="12"/>
  <c r="O631" i="12"/>
  <c r="P348" i="13"/>
  <c r="P21" i="13"/>
  <c r="M132" i="13"/>
  <c r="P132" i="13" s="1"/>
  <c r="O279" i="12"/>
  <c r="L685" i="14"/>
  <c r="O685" i="14" s="1"/>
  <c r="O90" i="14"/>
  <c r="P44" i="14"/>
  <c r="P279" i="14"/>
  <c r="M277" i="14"/>
  <c r="O36" i="14"/>
  <c r="L34" i="14"/>
  <c r="O34" i="14" s="1"/>
  <c r="P263" i="14"/>
  <c r="P151" i="14"/>
  <c r="L328" i="12"/>
  <c r="O328" i="12" s="1"/>
  <c r="N53" i="12"/>
  <c r="O53" i="12" s="1"/>
  <c r="O149" i="11"/>
  <c r="L31" i="13"/>
  <c r="O31" i="13" s="1"/>
  <c r="P88" i="14"/>
  <c r="N21" i="14"/>
  <c r="O21" i="14" s="1"/>
  <c r="K433" i="14"/>
  <c r="I131" i="14"/>
  <c r="K131" i="14" s="1"/>
  <c r="O631" i="14"/>
  <c r="L629" i="14"/>
  <c r="O629" i="14" s="1"/>
  <c r="P90" i="14"/>
  <c r="O263" i="14"/>
  <c r="N11" i="14"/>
  <c r="N9" i="14"/>
  <c r="P345" i="8"/>
  <c r="K417" i="9"/>
  <c r="O68" i="10"/>
  <c r="P149" i="10"/>
  <c r="P330" i="11"/>
  <c r="O391" i="11"/>
  <c r="O44" i="11"/>
  <c r="P181" i="12"/>
  <c r="L20" i="12"/>
  <c r="L18" i="12" s="1"/>
  <c r="L31" i="12"/>
  <c r="O31" i="12" s="1"/>
  <c r="I418" i="13"/>
  <c r="K418" i="13" s="1"/>
  <c r="O348" i="13"/>
  <c r="O183" i="13"/>
  <c r="M414" i="14"/>
  <c r="P414" i="14" s="1"/>
  <c r="P328" i="14"/>
  <c r="K237" i="14"/>
  <c r="I226" i="14"/>
  <c r="O330" i="14"/>
  <c r="L328" i="14"/>
  <c r="O328" i="14" s="1"/>
  <c r="P183" i="14"/>
  <c r="N181" i="14"/>
  <c r="O181" i="14" s="1"/>
  <c r="K434" i="14"/>
  <c r="I418" i="14"/>
  <c r="K418" i="14" s="1"/>
  <c r="P280" i="10"/>
  <c r="L523" i="11"/>
  <c r="O523" i="11" s="1"/>
  <c r="N261" i="12"/>
  <c r="P261" i="12" s="1"/>
  <c r="O55" i="13"/>
  <c r="K559" i="14"/>
  <c r="I543" i="14"/>
  <c r="K543" i="14" s="1"/>
  <c r="O55" i="14"/>
  <c r="L53" i="14"/>
  <c r="P9" i="14"/>
  <c r="L419" i="6"/>
  <c r="O419" i="6" s="1"/>
  <c r="L149" i="9"/>
  <c r="O149" i="9" s="1"/>
  <c r="P328" i="11"/>
  <c r="O43" i="11"/>
  <c r="P183" i="12"/>
  <c r="K364" i="13"/>
  <c r="P330" i="14"/>
  <c r="P167" i="14"/>
  <c r="N165" i="14"/>
  <c r="P165" i="14" s="1"/>
  <c r="P55" i="14"/>
  <c r="N53" i="14"/>
  <c r="P53" i="14" s="1"/>
  <c r="O167" i="14"/>
  <c r="L165" i="14"/>
  <c r="P68" i="14"/>
  <c r="M66" i="14"/>
  <c r="P66" i="14" s="1"/>
  <c r="L20" i="14"/>
  <c r="L18" i="14" s="1"/>
  <c r="L13" i="14"/>
  <c r="O23" i="14"/>
  <c r="O9" i="14"/>
  <c r="K785" i="11"/>
  <c r="L277" i="12"/>
  <c r="O277" i="12" s="1"/>
  <c r="L21" i="12"/>
  <c r="K275" i="12"/>
  <c r="M66" i="13"/>
  <c r="P66" i="13" s="1"/>
  <c r="O469" i="14"/>
  <c r="L467" i="14"/>
  <c r="M544" i="14"/>
  <c r="P544" i="14" s="1"/>
  <c r="P545" i="14"/>
  <c r="K174" i="14"/>
  <c r="I164" i="14"/>
  <c r="K164" i="14" s="1"/>
  <c r="L345" i="14"/>
  <c r="O347" i="14"/>
  <c r="P404" i="14"/>
  <c r="M402" i="14"/>
  <c r="P402" i="14" s="1"/>
  <c r="N16" i="14"/>
  <c r="N10" i="14" s="1"/>
  <c r="N24" i="14"/>
  <c r="O24" i="14" s="1"/>
  <c r="O546" i="14"/>
  <c r="L544" i="14"/>
  <c r="O544" i="14" s="1"/>
  <c r="O183" i="14"/>
  <c r="N20" i="14"/>
  <c r="N18" i="14" s="1"/>
  <c r="P151" i="10"/>
  <c r="L119" i="12"/>
  <c r="O119" i="12" s="1"/>
  <c r="L30" i="12"/>
  <c r="O30" i="12" s="1"/>
  <c r="M20" i="14"/>
  <c r="M13" i="14"/>
  <c r="M21" i="14"/>
  <c r="P23" i="14"/>
  <c r="O43" i="14"/>
  <c r="L41" i="14"/>
  <c r="K77" i="14"/>
  <c r="I65" i="14"/>
  <c r="K65" i="14" s="1"/>
  <c r="M41" i="14"/>
  <c r="O19" i="14"/>
  <c r="P279" i="10"/>
  <c r="O66" i="11"/>
  <c r="L181" i="12"/>
  <c r="O181" i="12" s="1"/>
  <c r="O167" i="12"/>
  <c r="M277" i="13"/>
  <c r="P277" i="13" s="1"/>
  <c r="N181" i="13"/>
  <c r="O181" i="13" s="1"/>
  <c r="O181" i="9"/>
  <c r="O279" i="10"/>
  <c r="L53" i="13"/>
  <c r="O53" i="13" s="1"/>
  <c r="M389" i="13"/>
  <c r="P389" i="13" s="1"/>
  <c r="L685" i="13"/>
  <c r="O685" i="13" s="1"/>
  <c r="M119" i="11"/>
  <c r="P119" i="11" s="1"/>
  <c r="I543" i="11"/>
  <c r="K543" i="11" s="1"/>
  <c r="O300" i="12"/>
  <c r="P43" i="10"/>
  <c r="P347" i="11"/>
  <c r="I164" i="12"/>
  <c r="K164" i="12" s="1"/>
  <c r="O467" i="13"/>
  <c r="L66" i="13"/>
  <c r="O66" i="13" s="1"/>
  <c r="L315" i="9"/>
  <c r="O315" i="9" s="1"/>
  <c r="O134" i="11"/>
  <c r="P152" i="12"/>
  <c r="N345" i="13"/>
  <c r="P345" i="13" s="1"/>
  <c r="P347" i="13"/>
  <c r="K364" i="10"/>
  <c r="M261" i="13"/>
  <c r="P261" i="13" s="1"/>
  <c r="L13" i="13"/>
  <c r="L11" i="13" s="1"/>
  <c r="P167" i="13"/>
  <c r="I65" i="13"/>
  <c r="K65" i="13" s="1"/>
  <c r="K77" i="13"/>
  <c r="M315" i="13"/>
  <c r="P315" i="13" s="1"/>
  <c r="P317" i="13"/>
  <c r="O43" i="10"/>
  <c r="O298" i="12"/>
  <c r="P56" i="12"/>
  <c r="L165" i="12"/>
  <c r="O165" i="12" s="1"/>
  <c r="L21" i="13"/>
  <c r="O21" i="13" s="1"/>
  <c r="P404" i="13"/>
  <c r="M402" i="13"/>
  <c r="P402" i="13" s="1"/>
  <c r="M181" i="13"/>
  <c r="P183" i="13"/>
  <c r="O167" i="13"/>
  <c r="O330" i="3"/>
  <c r="O421" i="11"/>
  <c r="P90" i="11"/>
  <c r="P134" i="11"/>
  <c r="P165" i="13"/>
  <c r="O446" i="13"/>
  <c r="L444" i="13"/>
  <c r="O444" i="13" s="1"/>
  <c r="P26" i="13"/>
  <c r="M24" i="13"/>
  <c r="P24" i="13" s="1"/>
  <c r="M16" i="13"/>
  <c r="P330" i="3"/>
  <c r="P345" i="5"/>
  <c r="L88" i="12"/>
  <c r="O88" i="12" s="1"/>
  <c r="P55" i="12"/>
  <c r="N24" i="12"/>
  <c r="P279" i="12"/>
  <c r="O348" i="12"/>
  <c r="K433" i="13"/>
  <c r="P351" i="13"/>
  <c r="O238" i="13"/>
  <c r="L227" i="13"/>
  <c r="M53" i="13"/>
  <c r="P53" i="13" s="1"/>
  <c r="P55" i="13"/>
  <c r="N9" i="13"/>
  <c r="P121" i="13"/>
  <c r="M119" i="13"/>
  <c r="P119" i="13" s="1"/>
  <c r="M28" i="13"/>
  <c r="P28" i="13" s="1"/>
  <c r="N16" i="13"/>
  <c r="N14" i="13" s="1"/>
  <c r="N20" i="13"/>
  <c r="N18" i="13" s="1"/>
  <c r="O53" i="10"/>
  <c r="K434" i="11"/>
  <c r="O181" i="11"/>
  <c r="O421" i="13"/>
  <c r="L419" i="13"/>
  <c r="K143" i="13"/>
  <c r="I131" i="13"/>
  <c r="K131" i="13" s="1"/>
  <c r="L261" i="13"/>
  <c r="O261" i="13" s="1"/>
  <c r="N88" i="13"/>
  <c r="P88" i="13" s="1"/>
  <c r="O90" i="13"/>
  <c r="O15" i="13"/>
  <c r="O26" i="13"/>
  <c r="L16" i="13"/>
  <c r="P151" i="13"/>
  <c r="M149" i="13"/>
  <c r="P149" i="13" s="1"/>
  <c r="L389" i="8"/>
  <c r="O389" i="8" s="1"/>
  <c r="O55" i="10"/>
  <c r="L402" i="12"/>
  <c r="O402" i="12" s="1"/>
  <c r="M41" i="13"/>
  <c r="P43" i="13"/>
  <c r="L298" i="13"/>
  <c r="O298" i="13" s="1"/>
  <c r="O300" i="13"/>
  <c r="O347" i="5"/>
  <c r="O90" i="8"/>
  <c r="P44" i="11"/>
  <c r="P152" i="11"/>
  <c r="N414" i="13"/>
  <c r="L629" i="13"/>
  <c r="O629" i="13" s="1"/>
  <c r="P330" i="13"/>
  <c r="M328" i="13"/>
  <c r="P328" i="13" s="1"/>
  <c r="O29" i="13"/>
  <c r="L9" i="13"/>
  <c r="M119" i="9"/>
  <c r="P119" i="9" s="1"/>
  <c r="K785" i="10"/>
  <c r="O469" i="13"/>
  <c r="L315" i="13"/>
  <c r="O315" i="13" s="1"/>
  <c r="P9" i="13"/>
  <c r="L24" i="13"/>
  <c r="O24" i="13" s="1"/>
  <c r="M414" i="13"/>
  <c r="P414" i="13" s="1"/>
  <c r="M20" i="13"/>
  <c r="P23" i="13"/>
  <c r="M13" i="13"/>
  <c r="I226" i="13"/>
  <c r="O43" i="13"/>
  <c r="L41" i="13"/>
  <c r="P90" i="13"/>
  <c r="L20" i="13"/>
  <c r="M165" i="10"/>
  <c r="P165" i="10" s="1"/>
  <c r="P331" i="10"/>
  <c r="P404" i="11"/>
  <c r="P331" i="11"/>
  <c r="P330" i="10"/>
  <c r="P41" i="11"/>
  <c r="O280" i="12"/>
  <c r="M66" i="12"/>
  <c r="P66" i="12" s="1"/>
  <c r="K143" i="10"/>
  <c r="L119" i="11"/>
  <c r="O119" i="11" s="1"/>
  <c r="P298" i="11"/>
  <c r="O657" i="12"/>
  <c r="L655" i="12"/>
  <c r="O655" i="12" s="1"/>
  <c r="K288" i="12"/>
  <c r="K785" i="9"/>
  <c r="L629" i="10"/>
  <c r="O629" i="10" s="1"/>
  <c r="M132" i="11"/>
  <c r="P132" i="11" s="1"/>
  <c r="L315" i="12"/>
  <c r="O315" i="12" s="1"/>
  <c r="L345" i="12"/>
  <c r="O345" i="12" s="1"/>
  <c r="M328" i="12"/>
  <c r="P328" i="12" s="1"/>
  <c r="O151" i="11"/>
  <c r="P121" i="12"/>
  <c r="M119" i="12"/>
  <c r="P119" i="12" s="1"/>
  <c r="O183" i="10"/>
  <c r="M315" i="11"/>
  <c r="P315" i="11" s="1"/>
  <c r="M315" i="12"/>
  <c r="P315" i="12" s="1"/>
  <c r="L277" i="10"/>
  <c r="O277" i="10" s="1"/>
  <c r="O330" i="10"/>
  <c r="N328" i="10"/>
  <c r="P328" i="10" s="1"/>
  <c r="L444" i="12"/>
  <c r="O444" i="12" s="1"/>
  <c r="M16" i="12"/>
  <c r="M24" i="12"/>
  <c r="P26" i="12"/>
  <c r="O525" i="12"/>
  <c r="L523" i="12"/>
  <c r="O523" i="12" s="1"/>
  <c r="L655" i="10"/>
  <c r="O655" i="10" s="1"/>
  <c r="L41" i="10"/>
  <c r="O41" i="10" s="1"/>
  <c r="O347" i="10"/>
  <c r="L30" i="10"/>
  <c r="O30" i="10" s="1"/>
  <c r="O152" i="11"/>
  <c r="P91" i="11"/>
  <c r="O446" i="11"/>
  <c r="O788" i="11"/>
  <c r="P261" i="11"/>
  <c r="P90" i="10"/>
  <c r="P277" i="12"/>
  <c r="L786" i="12"/>
  <c r="O786" i="12" s="1"/>
  <c r="L227" i="12"/>
  <c r="O26" i="12"/>
  <c r="L16" i="12"/>
  <c r="O16" i="12" s="1"/>
  <c r="L24" i="12"/>
  <c r="O446" i="8"/>
  <c r="P300" i="9"/>
  <c r="P69" i="10"/>
  <c r="N88" i="11"/>
  <c r="P88" i="11" s="1"/>
  <c r="L16" i="11"/>
  <c r="L14" i="11" s="1"/>
  <c r="K364" i="11"/>
  <c r="O36" i="12"/>
  <c r="P43" i="12"/>
  <c r="O135" i="12"/>
  <c r="P151" i="12"/>
  <c r="M149" i="12"/>
  <c r="P149" i="12" s="1"/>
  <c r="P167" i="12"/>
  <c r="M165" i="12"/>
  <c r="P165" i="12" s="1"/>
  <c r="K417" i="12"/>
  <c r="K77" i="12"/>
  <c r="I65" i="12"/>
  <c r="K65" i="12" s="1"/>
  <c r="O55" i="7"/>
  <c r="L467" i="10"/>
  <c r="O467" i="10" s="1"/>
  <c r="O279" i="11"/>
  <c r="O68" i="11"/>
  <c r="I226" i="12"/>
  <c r="K226" i="12" s="1"/>
  <c r="L149" i="12"/>
  <c r="O149" i="12" s="1"/>
  <c r="O151" i="12"/>
  <c r="K433" i="12"/>
  <c r="N277" i="11"/>
  <c r="P277" i="11" s="1"/>
  <c r="K417" i="11"/>
  <c r="L66" i="12"/>
  <c r="O66" i="12" s="1"/>
  <c r="P90" i="12"/>
  <c r="M88" i="12"/>
  <c r="P88" i="12" s="1"/>
  <c r="O41" i="12"/>
  <c r="N88" i="10"/>
  <c r="P88" i="10" s="1"/>
  <c r="N345" i="10"/>
  <c r="O345" i="10" s="1"/>
  <c r="M315" i="10"/>
  <c r="P315" i="10" s="1"/>
  <c r="O183" i="11"/>
  <c r="P151" i="11"/>
  <c r="P19" i="12"/>
  <c r="O12" i="12"/>
  <c r="L9" i="12"/>
  <c r="P404" i="12"/>
  <c r="M402" i="12"/>
  <c r="P402" i="12" s="1"/>
  <c r="O43" i="12"/>
  <c r="N21" i="12"/>
  <c r="M53" i="12"/>
  <c r="O19" i="12"/>
  <c r="O15" i="12"/>
  <c r="P391" i="12"/>
  <c r="M389" i="12"/>
  <c r="P389" i="12" s="1"/>
  <c r="M402" i="10"/>
  <c r="P402" i="10" s="1"/>
  <c r="O658" i="10"/>
  <c r="M298" i="12"/>
  <c r="P298" i="12" s="1"/>
  <c r="P41" i="12"/>
  <c r="L41" i="11"/>
  <c r="O41" i="11" s="1"/>
  <c r="L132" i="11"/>
  <c r="O132" i="11" s="1"/>
  <c r="O330" i="11"/>
  <c r="M414" i="12"/>
  <c r="P414" i="12" s="1"/>
  <c r="J364" i="12"/>
  <c r="K364" i="12" s="1"/>
  <c r="K365" i="12"/>
  <c r="P134" i="12"/>
  <c r="N132" i="12"/>
  <c r="O132" i="12" s="1"/>
  <c r="N9" i="12"/>
  <c r="N14" i="12"/>
  <c r="O546" i="12"/>
  <c r="P12" i="12"/>
  <c r="M9" i="12"/>
  <c r="K559" i="9"/>
  <c r="O446" i="9"/>
  <c r="O168" i="11"/>
  <c r="P43" i="11"/>
  <c r="O328" i="11"/>
  <c r="K143" i="12"/>
  <c r="I131" i="12"/>
  <c r="K131" i="12" s="1"/>
  <c r="O469" i="12"/>
  <c r="L467" i="12"/>
  <c r="O467" i="12" s="1"/>
  <c r="L419" i="12"/>
  <c r="O90" i="11"/>
  <c r="O29" i="12"/>
  <c r="P347" i="12"/>
  <c r="M345" i="12"/>
  <c r="P345" i="12" s="1"/>
  <c r="O134" i="12"/>
  <c r="N20" i="12"/>
  <c r="N18" i="12" s="1"/>
  <c r="N13" i="12"/>
  <c r="P23" i="12"/>
  <c r="M21" i="12"/>
  <c r="M20" i="12"/>
  <c r="M13" i="12"/>
  <c r="L685" i="12"/>
  <c r="O685" i="12" s="1"/>
  <c r="P138" i="12"/>
  <c r="P43" i="9"/>
  <c r="O184" i="11"/>
  <c r="M149" i="11"/>
  <c r="P149" i="11" s="1"/>
  <c r="K433" i="11"/>
  <c r="O23" i="11"/>
  <c r="P134" i="9"/>
  <c r="P300" i="11"/>
  <c r="L30" i="8"/>
  <c r="L28" i="8" s="1"/>
  <c r="O28" i="8" s="1"/>
  <c r="O134" i="9"/>
  <c r="L402" i="11"/>
  <c r="O402" i="11" s="1"/>
  <c r="L277" i="11"/>
  <c r="O331" i="10"/>
  <c r="L13" i="11"/>
  <c r="L11" i="11" s="1"/>
  <c r="I442" i="2"/>
  <c r="K442" i="2" s="1"/>
  <c r="O469" i="11"/>
  <c r="L467" i="11"/>
  <c r="O467" i="11" s="1"/>
  <c r="O263" i="7"/>
  <c r="L34" i="8"/>
  <c r="O34" i="8" s="1"/>
  <c r="L544" i="10"/>
  <c r="O544" i="10" s="1"/>
  <c r="L165" i="10"/>
  <c r="O165" i="10" s="1"/>
  <c r="O317" i="11"/>
  <c r="L315" i="11"/>
  <c r="O315" i="11" s="1"/>
  <c r="L345" i="11"/>
  <c r="O345" i="11" s="1"/>
  <c r="O347" i="11"/>
  <c r="L20" i="11"/>
  <c r="L18" i="11" s="1"/>
  <c r="L24" i="11"/>
  <c r="O444" i="11"/>
  <c r="O298" i="11"/>
  <c r="O33" i="11"/>
  <c r="L31" i="11"/>
  <c r="O31" i="11" s="1"/>
  <c r="L30" i="11"/>
  <c r="L544" i="7"/>
  <c r="O544" i="7" s="1"/>
  <c r="L402" i="10"/>
  <c r="O402" i="10" s="1"/>
  <c r="L34" i="10"/>
  <c r="O34" i="10" s="1"/>
  <c r="P263" i="11"/>
  <c r="P391" i="11"/>
  <c r="M389" i="11"/>
  <c r="P389" i="11" s="1"/>
  <c r="P261" i="7"/>
  <c r="P277" i="10"/>
  <c r="P181" i="11"/>
  <c r="O263" i="11"/>
  <c r="O300" i="11"/>
  <c r="M28" i="11"/>
  <c r="P28" i="11" s="1"/>
  <c r="P29" i="11"/>
  <c r="P55" i="11"/>
  <c r="N53" i="11"/>
  <c r="P53" i="11" s="1"/>
  <c r="N9" i="11"/>
  <c r="K237" i="11"/>
  <c r="I226" i="11"/>
  <c r="P121" i="7"/>
  <c r="O33" i="9"/>
  <c r="O33" i="10"/>
  <c r="P68" i="11"/>
  <c r="M66" i="11"/>
  <c r="P66" i="11" s="1"/>
  <c r="M16" i="11"/>
  <c r="P26" i="11"/>
  <c r="N20" i="11"/>
  <c r="N13" i="11"/>
  <c r="N11" i="11" s="1"/>
  <c r="M20" i="11"/>
  <c r="O249" i="11"/>
  <c r="L227" i="11"/>
  <c r="N21" i="11"/>
  <c r="O21" i="11" s="1"/>
  <c r="O280" i="10"/>
  <c r="O687" i="11"/>
  <c r="L685" i="11"/>
  <c r="O685" i="11" s="1"/>
  <c r="O26" i="11"/>
  <c r="N16" i="11"/>
  <c r="N14" i="11" s="1"/>
  <c r="N24" i="11"/>
  <c r="O121" i="10"/>
  <c r="L119" i="10"/>
  <c r="O119" i="10" s="1"/>
  <c r="O12" i="11"/>
  <c r="L9" i="11"/>
  <c r="O55" i="11"/>
  <c r="O91" i="11"/>
  <c r="O277" i="6"/>
  <c r="I131" i="11"/>
  <c r="K131" i="11" s="1"/>
  <c r="K143" i="11"/>
  <c r="K288" i="11"/>
  <c r="I65" i="11"/>
  <c r="K65" i="11" s="1"/>
  <c r="K77" i="11"/>
  <c r="O19" i="11"/>
  <c r="K174" i="11"/>
  <c r="I164" i="11"/>
  <c r="K164" i="11" s="1"/>
  <c r="P184" i="11"/>
  <c r="O330" i="7"/>
  <c r="O167" i="8"/>
  <c r="L298" i="10"/>
  <c r="O298" i="10" s="1"/>
  <c r="L13" i="10"/>
  <c r="L11" i="10" s="1"/>
  <c r="P55" i="10"/>
  <c r="N419" i="11"/>
  <c r="K275" i="11"/>
  <c r="M414" i="11"/>
  <c r="P414" i="11" s="1"/>
  <c r="P168" i="11"/>
  <c r="P167" i="11"/>
  <c r="N165" i="11"/>
  <c r="O165" i="11" s="1"/>
  <c r="M9" i="11"/>
  <c r="P15" i="11"/>
  <c r="O167" i="11"/>
  <c r="I64" i="11"/>
  <c r="K64" i="11" s="1"/>
  <c r="K76" i="11"/>
  <c r="L34" i="6"/>
  <c r="O34" i="6" s="1"/>
  <c r="O90" i="7"/>
  <c r="M21" i="8"/>
  <c r="L30" i="9"/>
  <c r="O30" i="9" s="1"/>
  <c r="K559" i="10"/>
  <c r="P347" i="10"/>
  <c r="O330" i="5"/>
  <c r="M149" i="7"/>
  <c r="P149" i="7" s="1"/>
  <c r="P300" i="8"/>
  <c r="O168" i="9"/>
  <c r="L523" i="9"/>
  <c r="O523" i="9" s="1"/>
  <c r="P347" i="5"/>
  <c r="O90" i="10"/>
  <c r="M119" i="10"/>
  <c r="P119" i="10" s="1"/>
  <c r="K288" i="10"/>
  <c r="L66" i="10"/>
  <c r="O66" i="10" s="1"/>
  <c r="L227" i="10"/>
  <c r="O238" i="10"/>
  <c r="L34" i="5"/>
  <c r="O34" i="5" s="1"/>
  <c r="L419" i="8"/>
  <c r="O419" i="8" s="1"/>
  <c r="P263" i="10"/>
  <c r="O68" i="7"/>
  <c r="K364" i="7"/>
  <c r="O657" i="9"/>
  <c r="P68" i="9"/>
  <c r="P44" i="10"/>
  <c r="P391" i="10"/>
  <c r="M389" i="10"/>
  <c r="P389" i="10" s="1"/>
  <c r="O391" i="10"/>
  <c r="L389" i="10"/>
  <c r="O389" i="10" s="1"/>
  <c r="K433" i="10"/>
  <c r="I417" i="10"/>
  <c r="K417" i="10" s="1"/>
  <c r="P55" i="6"/>
  <c r="O328" i="9"/>
  <c r="O68" i="9"/>
  <c r="O26" i="10"/>
  <c r="O317" i="10"/>
  <c r="L315" i="10"/>
  <c r="O315" i="10" s="1"/>
  <c r="L328" i="10"/>
  <c r="O263" i="10"/>
  <c r="O688" i="4"/>
  <c r="L444" i="5"/>
  <c r="O444" i="5" s="1"/>
  <c r="P331" i="6"/>
  <c r="O119" i="7"/>
  <c r="L315" i="8"/>
  <c r="O315" i="8" s="1"/>
  <c r="K174" i="8"/>
  <c r="M315" i="9"/>
  <c r="P315" i="9" s="1"/>
  <c r="M389" i="9"/>
  <c r="P389" i="9" s="1"/>
  <c r="P55" i="9"/>
  <c r="K275" i="10"/>
  <c r="O446" i="10"/>
  <c r="L444" i="10"/>
  <c r="O444" i="10" s="1"/>
  <c r="L21" i="10"/>
  <c r="O21" i="10" s="1"/>
  <c r="M261" i="10"/>
  <c r="P261" i="10" s="1"/>
  <c r="L419" i="10"/>
  <c r="O419" i="10" s="1"/>
  <c r="O421" i="10"/>
  <c r="O151" i="10"/>
  <c r="L149" i="10"/>
  <c r="O149" i="10" s="1"/>
  <c r="L20" i="10"/>
  <c r="L18" i="10" s="1"/>
  <c r="O261" i="10"/>
  <c r="L16" i="10"/>
  <c r="L14" i="10" s="1"/>
  <c r="P184" i="10"/>
  <c r="M402" i="8"/>
  <c r="P402" i="8" s="1"/>
  <c r="K434" i="10"/>
  <c r="I418" i="10"/>
  <c r="K418" i="10" s="1"/>
  <c r="P29" i="10"/>
  <c r="M28" i="10"/>
  <c r="P28" i="10" s="1"/>
  <c r="P68" i="10"/>
  <c r="M66" i="10"/>
  <c r="P66" i="10" s="1"/>
  <c r="P300" i="10"/>
  <c r="M298" i="10"/>
  <c r="P298" i="10" s="1"/>
  <c r="K174" i="10"/>
  <c r="I164" i="10"/>
  <c r="K164" i="10" s="1"/>
  <c r="K237" i="10"/>
  <c r="I226" i="10"/>
  <c r="P41" i="10"/>
  <c r="P26" i="10"/>
  <c r="M16" i="10"/>
  <c r="M24" i="10"/>
  <c r="L685" i="10"/>
  <c r="O685" i="10" s="1"/>
  <c r="O19" i="10"/>
  <c r="P23" i="10"/>
  <c r="M20" i="10"/>
  <c r="M13" i="10"/>
  <c r="M21" i="10"/>
  <c r="P21" i="10" s="1"/>
  <c r="P168" i="10"/>
  <c r="N16" i="10"/>
  <c r="N14" i="10" s="1"/>
  <c r="N24" i="10"/>
  <c r="O24" i="10" s="1"/>
  <c r="N20" i="10"/>
  <c r="O23" i="10"/>
  <c r="N13" i="10"/>
  <c r="O91" i="10"/>
  <c r="L16" i="9"/>
  <c r="O16" i="9" s="1"/>
  <c r="O12" i="10"/>
  <c r="L9" i="10"/>
  <c r="P183" i="10"/>
  <c r="N181" i="10"/>
  <c r="P9" i="10"/>
  <c r="I64" i="10"/>
  <c r="K64" i="10" s="1"/>
  <c r="K76" i="10"/>
  <c r="M414" i="10"/>
  <c r="P414" i="10" s="1"/>
  <c r="P134" i="10"/>
  <c r="M132" i="10"/>
  <c r="P132" i="10" s="1"/>
  <c r="I65" i="10"/>
  <c r="K65" i="10" s="1"/>
  <c r="K77" i="10"/>
  <c r="O132" i="7"/>
  <c r="M13" i="7"/>
  <c r="M11" i="7" s="1"/>
  <c r="P90" i="8"/>
  <c r="M298" i="8"/>
  <c r="P298" i="8" s="1"/>
  <c r="O184" i="8"/>
  <c r="O404" i="8"/>
  <c r="O55" i="9"/>
  <c r="L402" i="9"/>
  <c r="O402" i="9" s="1"/>
  <c r="O298" i="8"/>
  <c r="P330" i="9"/>
  <c r="M315" i="7"/>
  <c r="P315" i="7" s="1"/>
  <c r="P91" i="8"/>
  <c r="M132" i="8"/>
  <c r="P132" i="8" s="1"/>
  <c r="K433" i="9"/>
  <c r="K364" i="9"/>
  <c r="O330" i="9"/>
  <c r="O263" i="9"/>
  <c r="O183" i="9"/>
  <c r="P44" i="9"/>
  <c r="L786" i="9"/>
  <c r="O786" i="9" s="1"/>
  <c r="L523" i="7"/>
  <c r="O523" i="7" s="1"/>
  <c r="O631" i="8"/>
  <c r="P55" i="8"/>
  <c r="I65" i="8"/>
  <c r="K65" i="8" s="1"/>
  <c r="O183" i="8"/>
  <c r="O151" i="8"/>
  <c r="L34" i="9"/>
  <c r="O34" i="9" s="1"/>
  <c r="O36" i="9"/>
  <c r="L419" i="9"/>
  <c r="O419" i="9" s="1"/>
  <c r="O421" i="9"/>
  <c r="L786" i="6"/>
  <c r="O786" i="6" s="1"/>
  <c r="L444" i="7"/>
  <c r="O444" i="7" s="1"/>
  <c r="L149" i="7"/>
  <c r="O149" i="7" s="1"/>
  <c r="N88" i="7"/>
  <c r="P88" i="7" s="1"/>
  <c r="P24" i="8"/>
  <c r="P184" i="8"/>
  <c r="I64" i="8"/>
  <c r="K64" i="8" s="1"/>
  <c r="O59" i="8"/>
  <c r="P88" i="9"/>
  <c r="L629" i="9"/>
  <c r="O629" i="9" s="1"/>
  <c r="O631" i="9"/>
  <c r="O546" i="8"/>
  <c r="M16" i="8"/>
  <c r="M10" i="8" s="1"/>
  <c r="M328" i="9"/>
  <c r="P328" i="9" s="1"/>
  <c r="O300" i="8"/>
  <c r="P277" i="6"/>
  <c r="N88" i="8"/>
  <c r="O88" i="8" s="1"/>
  <c r="P23" i="8"/>
  <c r="P331" i="9"/>
  <c r="L315" i="6"/>
  <c r="O315" i="6" s="1"/>
  <c r="P43" i="8"/>
  <c r="K434" i="9"/>
  <c r="O90" i="9"/>
  <c r="P90" i="9"/>
  <c r="O43" i="9"/>
  <c r="L165" i="8"/>
  <c r="O165" i="8" s="1"/>
  <c r="L685" i="8"/>
  <c r="O685" i="8" s="1"/>
  <c r="O469" i="9"/>
  <c r="L467" i="9"/>
  <c r="M402" i="9"/>
  <c r="P402" i="9" s="1"/>
  <c r="P404" i="9"/>
  <c r="O15" i="9"/>
  <c r="L53" i="9"/>
  <c r="O53" i="9" s="1"/>
  <c r="P151" i="9"/>
  <c r="M149" i="9"/>
  <c r="P149" i="9" s="1"/>
  <c r="N9" i="9"/>
  <c r="N14" i="9"/>
  <c r="P263" i="9"/>
  <c r="M261" i="9"/>
  <c r="P261" i="9" s="1"/>
  <c r="O9" i="9"/>
  <c r="O279" i="9"/>
  <c r="N277" i="9"/>
  <c r="O277" i="9" s="1"/>
  <c r="P19" i="9"/>
  <c r="P279" i="9"/>
  <c r="M20" i="8"/>
  <c r="M18" i="8" s="1"/>
  <c r="P347" i="8"/>
  <c r="N345" i="9"/>
  <c r="O345" i="9" s="1"/>
  <c r="L298" i="9"/>
  <c r="O298" i="9" s="1"/>
  <c r="P12" i="9"/>
  <c r="M9" i="9"/>
  <c r="O41" i="9"/>
  <c r="M53" i="9"/>
  <c r="P53" i="9" s="1"/>
  <c r="L21" i="9"/>
  <c r="O21" i="9" s="1"/>
  <c r="L13" i="9"/>
  <c r="O23" i="9"/>
  <c r="L20" i="9"/>
  <c r="P347" i="9"/>
  <c r="L685" i="9"/>
  <c r="O685" i="9" s="1"/>
  <c r="K248" i="9"/>
  <c r="I226" i="9"/>
  <c r="P30" i="9"/>
  <c r="M28" i="9"/>
  <c r="P28" i="9" s="1"/>
  <c r="L132" i="4"/>
  <c r="O132" i="4" s="1"/>
  <c r="O59" i="5"/>
  <c r="O181" i="8"/>
  <c r="O43" i="8"/>
  <c r="N655" i="9"/>
  <c r="N414" i="9" s="1"/>
  <c r="O391" i="9"/>
  <c r="L389" i="9"/>
  <c r="O389" i="9" s="1"/>
  <c r="L88" i="9"/>
  <c r="O88" i="9" s="1"/>
  <c r="L119" i="9"/>
  <c r="O119" i="9" s="1"/>
  <c r="O29" i="9"/>
  <c r="I65" i="9"/>
  <c r="K65" i="9" s="1"/>
  <c r="K77" i="9"/>
  <c r="N24" i="9"/>
  <c r="O24" i="9" s="1"/>
  <c r="P41" i="9"/>
  <c r="O56" i="9"/>
  <c r="M165" i="9"/>
  <c r="P165" i="9" s="1"/>
  <c r="P167" i="9"/>
  <c r="L261" i="9"/>
  <c r="O261" i="9" s="1"/>
  <c r="P23" i="9"/>
  <c r="M20" i="9"/>
  <c r="M18" i="9" s="1"/>
  <c r="M13" i="9"/>
  <c r="M11" i="9" s="1"/>
  <c r="M21" i="9"/>
  <c r="P21" i="9" s="1"/>
  <c r="M181" i="9"/>
  <c r="P181" i="9" s="1"/>
  <c r="P183" i="9"/>
  <c r="P26" i="9"/>
  <c r="M16" i="9"/>
  <c r="M24" i="9"/>
  <c r="K143" i="9"/>
  <c r="I131" i="9"/>
  <c r="K131" i="9" s="1"/>
  <c r="O238" i="9"/>
  <c r="L227" i="9"/>
  <c r="N20" i="9"/>
  <c r="N18" i="9" s="1"/>
  <c r="N13" i="9"/>
  <c r="N10" i="9" s="1"/>
  <c r="O26" i="9"/>
  <c r="P391" i="8"/>
  <c r="M389" i="8"/>
  <c r="P389" i="8" s="1"/>
  <c r="O328" i="5"/>
  <c r="J364" i="6"/>
  <c r="K364" i="6" s="1"/>
  <c r="M315" i="8"/>
  <c r="P315" i="8" s="1"/>
  <c r="O91" i="8"/>
  <c r="P330" i="4"/>
  <c r="P279" i="5"/>
  <c r="P165" i="7"/>
  <c r="L298" i="7"/>
  <c r="O298" i="7" s="1"/>
  <c r="O41" i="8"/>
  <c r="O657" i="8"/>
  <c r="L655" i="8"/>
  <c r="O655" i="8" s="1"/>
  <c r="K288" i="8"/>
  <c r="L31" i="8"/>
  <c r="O31" i="8" s="1"/>
  <c r="P134" i="6"/>
  <c r="O33" i="8"/>
  <c r="P181" i="6"/>
  <c r="L786" i="7"/>
  <c r="O786" i="7" s="1"/>
  <c r="P151" i="8"/>
  <c r="M119" i="5"/>
  <c r="P119" i="5" s="1"/>
  <c r="M165" i="8"/>
  <c r="P165" i="8" s="1"/>
  <c r="P167" i="8"/>
  <c r="O345" i="7"/>
  <c r="N24" i="5"/>
  <c r="O328" i="6"/>
  <c r="L31" i="6"/>
  <c r="O31" i="6" s="1"/>
  <c r="O330" i="6"/>
  <c r="O347" i="6"/>
  <c r="L261" i="7"/>
  <c r="O261" i="7" s="1"/>
  <c r="J275" i="7"/>
  <c r="K275" i="7" s="1"/>
  <c r="N149" i="8"/>
  <c r="O149" i="8" s="1"/>
  <c r="O44" i="8"/>
  <c r="P68" i="8"/>
  <c r="N66" i="8"/>
  <c r="P66" i="8" s="1"/>
  <c r="M119" i="8"/>
  <c r="P119" i="8" s="1"/>
  <c r="K785" i="6"/>
  <c r="L523" i="6"/>
  <c r="O523" i="6" s="1"/>
  <c r="L30" i="6"/>
  <c r="O30" i="6" s="1"/>
  <c r="O347" i="7"/>
  <c r="M328" i="8"/>
  <c r="P328" i="8" s="1"/>
  <c r="P330" i="8"/>
  <c r="P347" i="6"/>
  <c r="P348" i="7"/>
  <c r="L402" i="7"/>
  <c r="O402" i="7" s="1"/>
  <c r="L523" i="8"/>
  <c r="O523" i="8" s="1"/>
  <c r="O68" i="8"/>
  <c r="O469" i="8"/>
  <c r="L467" i="8"/>
  <c r="O467" i="8" s="1"/>
  <c r="N277" i="8"/>
  <c r="P279" i="8"/>
  <c r="O279" i="8"/>
  <c r="O15" i="8"/>
  <c r="L261" i="8"/>
  <c r="O261" i="8" s="1"/>
  <c r="O263" i="8"/>
  <c r="O29" i="8"/>
  <c r="K226" i="8"/>
  <c r="I180" i="8"/>
  <c r="K180" i="8" s="1"/>
  <c r="P263" i="8"/>
  <c r="M261" i="8"/>
  <c r="P261" i="8" s="1"/>
  <c r="L119" i="8"/>
  <c r="O121" i="8"/>
  <c r="L419" i="3"/>
  <c r="O419" i="3" s="1"/>
  <c r="O446" i="3"/>
  <c r="O183" i="6"/>
  <c r="O68" i="6"/>
  <c r="P279" i="7"/>
  <c r="O134" i="7"/>
  <c r="P90" i="7"/>
  <c r="P279" i="6"/>
  <c r="P91" i="7"/>
  <c r="O43" i="7"/>
  <c r="K433" i="8"/>
  <c r="J417" i="8"/>
  <c r="K417" i="8" s="1"/>
  <c r="O238" i="8"/>
  <c r="L227" i="8"/>
  <c r="L16" i="8"/>
  <c r="L14" i="8" s="1"/>
  <c r="O26" i="8"/>
  <c r="M53" i="8"/>
  <c r="O121" i="7"/>
  <c r="L34" i="7"/>
  <c r="O34" i="7" s="1"/>
  <c r="N544" i="8"/>
  <c r="O23" i="8"/>
  <c r="L20" i="8"/>
  <c r="L13" i="8"/>
  <c r="L11" i="8" s="1"/>
  <c r="L21" i="8"/>
  <c r="N16" i="8"/>
  <c r="N14" i="8" s="1"/>
  <c r="P26" i="8"/>
  <c r="P19" i="8"/>
  <c r="O264" i="8"/>
  <c r="O134" i="8"/>
  <c r="L132" i="8"/>
  <c r="O132" i="8" s="1"/>
  <c r="N21" i="8"/>
  <c r="N20" i="8"/>
  <c r="N18" i="8" s="1"/>
  <c r="N13" i="8"/>
  <c r="N11" i="8" s="1"/>
  <c r="P11" i="8" s="1"/>
  <c r="N9" i="8"/>
  <c r="P301" i="8"/>
  <c r="L345" i="8"/>
  <c r="O345" i="8" s="1"/>
  <c r="M88" i="8"/>
  <c r="I418" i="8"/>
  <c r="K418" i="8" s="1"/>
  <c r="K434" i="8"/>
  <c r="M414" i="8"/>
  <c r="P414" i="8" s="1"/>
  <c r="P263" i="5"/>
  <c r="O330" i="8"/>
  <c r="L328" i="8"/>
  <c r="O328" i="8" s="1"/>
  <c r="O24" i="8"/>
  <c r="P9" i="8"/>
  <c r="O55" i="8"/>
  <c r="N53" i="8"/>
  <c r="O12" i="8"/>
  <c r="L9" i="8"/>
  <c r="N24" i="6"/>
  <c r="P90" i="6"/>
  <c r="P183" i="8"/>
  <c r="M181" i="8"/>
  <c r="P181" i="8" s="1"/>
  <c r="M41" i="8"/>
  <c r="O263" i="6"/>
  <c r="P183" i="5"/>
  <c r="O181" i="6"/>
  <c r="K275" i="6"/>
  <c r="M119" i="7"/>
  <c r="P119" i="7" s="1"/>
  <c r="L328" i="7"/>
  <c r="O328" i="7" s="1"/>
  <c r="P183" i="7"/>
  <c r="O279" i="6"/>
  <c r="L41" i="7"/>
  <c r="O41" i="7" s="1"/>
  <c r="L655" i="7"/>
  <c r="O655" i="7" s="1"/>
  <c r="O298" i="6"/>
  <c r="O90" i="6"/>
  <c r="P132" i="7"/>
  <c r="O184" i="7"/>
  <c r="P183" i="6"/>
  <c r="K433" i="7"/>
  <c r="P134" i="7"/>
  <c r="P347" i="7"/>
  <c r="M345" i="7"/>
  <c r="P345" i="7" s="1"/>
  <c r="M41" i="7"/>
  <c r="P41" i="7" s="1"/>
  <c r="P43" i="7"/>
  <c r="P391" i="7"/>
  <c r="M389" i="7"/>
  <c r="P389" i="7" s="1"/>
  <c r="K76" i="7"/>
  <c r="P121" i="4"/>
  <c r="P138" i="5"/>
  <c r="L544" i="5"/>
  <c r="O544" i="5" s="1"/>
  <c r="L402" i="6"/>
  <c r="O402" i="6" s="1"/>
  <c r="L419" i="7"/>
  <c r="O419" i="7" s="1"/>
  <c r="P263" i="7"/>
  <c r="O422" i="4"/>
  <c r="P56" i="6"/>
  <c r="O138" i="6"/>
  <c r="L119" i="6"/>
  <c r="O119" i="6" s="1"/>
  <c r="L629" i="7"/>
  <c r="O629" i="7" s="1"/>
  <c r="M298" i="7"/>
  <c r="P298" i="7" s="1"/>
  <c r="L66" i="7"/>
  <c r="O66" i="7" s="1"/>
  <c r="P167" i="7"/>
  <c r="O91" i="5"/>
  <c r="P351" i="6"/>
  <c r="M402" i="7"/>
  <c r="P402" i="7" s="1"/>
  <c r="P330" i="7"/>
  <c r="M328" i="7"/>
  <c r="P328" i="7" s="1"/>
  <c r="K434" i="7"/>
  <c r="I418" i="7"/>
  <c r="K418" i="7" s="1"/>
  <c r="K559" i="6"/>
  <c r="I543" i="6"/>
  <c r="K543" i="6" s="1"/>
  <c r="P19" i="7"/>
  <c r="O12" i="7"/>
  <c r="L9" i="7"/>
  <c r="K785" i="4"/>
  <c r="M261" i="5"/>
  <c r="P261" i="5" s="1"/>
  <c r="O345" i="6"/>
  <c r="L389" i="7"/>
  <c r="O389" i="7" s="1"/>
  <c r="P29" i="7"/>
  <c r="M28" i="7"/>
  <c r="P28" i="7" s="1"/>
  <c r="M9" i="7"/>
  <c r="P12" i="7"/>
  <c r="M66" i="7"/>
  <c r="P68" i="7"/>
  <c r="O238" i="7"/>
  <c r="L227" i="7"/>
  <c r="O19" i="7"/>
  <c r="O26" i="7"/>
  <c r="L24" i="7"/>
  <c r="L16" i="7"/>
  <c r="P90" i="4"/>
  <c r="O165" i="6"/>
  <c r="M414" i="7"/>
  <c r="P414" i="7" s="1"/>
  <c r="L685" i="7"/>
  <c r="O685" i="7" s="1"/>
  <c r="I65" i="7"/>
  <c r="K65" i="7" s="1"/>
  <c r="K77" i="7"/>
  <c r="N181" i="7"/>
  <c r="P181" i="7" s="1"/>
  <c r="N53" i="7"/>
  <c r="O183" i="5"/>
  <c r="K417" i="6"/>
  <c r="J131" i="7"/>
  <c r="K131" i="7" s="1"/>
  <c r="K143" i="7"/>
  <c r="N20" i="7"/>
  <c r="N18" i="7" s="1"/>
  <c r="N13" i="7"/>
  <c r="M24" i="7"/>
  <c r="M16" i="7"/>
  <c r="P26" i="7"/>
  <c r="M402" i="5"/>
  <c r="P402" i="5" s="1"/>
  <c r="O167" i="6"/>
  <c r="O469" i="7"/>
  <c r="L467" i="7"/>
  <c r="O467" i="7" s="1"/>
  <c r="I226" i="7"/>
  <c r="K237" i="7"/>
  <c r="O33" i="7"/>
  <c r="L30" i="7"/>
  <c r="L31" i="7"/>
  <c r="O31" i="7" s="1"/>
  <c r="P277" i="7"/>
  <c r="N16" i="7"/>
  <c r="N14" i="7" s="1"/>
  <c r="N24" i="7"/>
  <c r="O167" i="7"/>
  <c r="L165" i="7"/>
  <c r="O165" i="7" s="1"/>
  <c r="P55" i="7"/>
  <c r="K174" i="7"/>
  <c r="I164" i="7"/>
  <c r="K164" i="7" s="1"/>
  <c r="O23" i="7"/>
  <c r="L20" i="7"/>
  <c r="L13" i="7"/>
  <c r="L21" i="7"/>
  <c r="O21" i="7" s="1"/>
  <c r="L277" i="7"/>
  <c r="O277" i="7" s="1"/>
  <c r="O279" i="7"/>
  <c r="M20" i="7"/>
  <c r="I543" i="5"/>
  <c r="K543" i="5" s="1"/>
  <c r="N277" i="5"/>
  <c r="P277" i="5" s="1"/>
  <c r="O90" i="5"/>
  <c r="P168" i="7"/>
  <c r="O168" i="7"/>
  <c r="P135" i="7"/>
  <c r="P21" i="7"/>
  <c r="L181" i="7"/>
  <c r="O183" i="7"/>
  <c r="P23" i="7"/>
  <c r="N14" i="5"/>
  <c r="P135" i="5"/>
  <c r="P55" i="5"/>
  <c r="P167" i="6"/>
  <c r="O43" i="3"/>
  <c r="O300" i="3"/>
  <c r="P331" i="3"/>
  <c r="O263" i="4"/>
  <c r="M132" i="4"/>
  <c r="P132" i="4" s="1"/>
  <c r="K275" i="5"/>
  <c r="O263" i="5"/>
  <c r="O43" i="6"/>
  <c r="M119" i="6"/>
  <c r="P119" i="6" s="1"/>
  <c r="K364" i="5"/>
  <c r="L88" i="6"/>
  <c r="O88" i="6" s="1"/>
  <c r="P165" i="6"/>
  <c r="P184" i="5"/>
  <c r="P132" i="6"/>
  <c r="O55" i="6"/>
  <c r="L53" i="6"/>
  <c r="O53" i="6" s="1"/>
  <c r="M88" i="6"/>
  <c r="P88" i="6" s="1"/>
  <c r="K434" i="6"/>
  <c r="I418" i="6"/>
  <c r="K418" i="6" s="1"/>
  <c r="P300" i="6"/>
  <c r="M298" i="6"/>
  <c r="P298" i="6" s="1"/>
  <c r="K433" i="6"/>
  <c r="J131" i="6"/>
  <c r="K131" i="6" s="1"/>
  <c r="K143" i="6"/>
  <c r="P404" i="6"/>
  <c r="M402" i="6"/>
  <c r="P402" i="6" s="1"/>
  <c r="O300" i="6"/>
  <c r="O301" i="6"/>
  <c r="P181" i="3"/>
  <c r="K364" i="4"/>
  <c r="M315" i="5"/>
  <c r="P315" i="5" s="1"/>
  <c r="N66" i="6"/>
  <c r="P68" i="6"/>
  <c r="N149" i="6"/>
  <c r="P149" i="6" s="1"/>
  <c r="P151" i="6"/>
  <c r="O88" i="4"/>
  <c r="P69" i="6"/>
  <c r="O69" i="6"/>
  <c r="O134" i="6"/>
  <c r="L132" i="6"/>
  <c r="O132" i="6" s="1"/>
  <c r="P29" i="6"/>
  <c r="M28" i="6"/>
  <c r="P28" i="6" s="1"/>
  <c r="O279" i="5"/>
  <c r="O55" i="5"/>
  <c r="L655" i="5"/>
  <c r="O655" i="5" s="1"/>
  <c r="N181" i="5"/>
  <c r="O446" i="6"/>
  <c r="P263" i="6"/>
  <c r="N261" i="6"/>
  <c r="P261" i="6" s="1"/>
  <c r="N20" i="6"/>
  <c r="N18" i="6" s="1"/>
  <c r="N13" i="6"/>
  <c r="O29" i="6"/>
  <c r="O151" i="6"/>
  <c r="L149" i="6"/>
  <c r="O26" i="6"/>
  <c r="L24" i="6"/>
  <c r="L16" i="6"/>
  <c r="O16" i="6" s="1"/>
  <c r="L13" i="6"/>
  <c r="O23" i="6"/>
  <c r="L20" i="6"/>
  <c r="O687" i="6"/>
  <c r="L685" i="6"/>
  <c r="O685" i="6" s="1"/>
  <c r="O318" i="4"/>
  <c r="N544" i="6"/>
  <c r="O544" i="6" s="1"/>
  <c r="O546" i="6"/>
  <c r="O447" i="6"/>
  <c r="O15" i="6"/>
  <c r="N41" i="6"/>
  <c r="P26" i="6"/>
  <c r="M16" i="6"/>
  <c r="P16" i="6" s="1"/>
  <c r="P391" i="6"/>
  <c r="M389" i="6"/>
  <c r="P389" i="6" s="1"/>
  <c r="P43" i="6"/>
  <c r="M41" i="6"/>
  <c r="K237" i="6"/>
  <c r="I226" i="6"/>
  <c r="K434" i="5"/>
  <c r="L261" i="5"/>
  <c r="O261" i="5" s="1"/>
  <c r="M345" i="6"/>
  <c r="P345" i="6" s="1"/>
  <c r="M315" i="6"/>
  <c r="P315" i="6" s="1"/>
  <c r="O9" i="6"/>
  <c r="O444" i="6"/>
  <c r="L389" i="6"/>
  <c r="O389" i="6" s="1"/>
  <c r="P330" i="6"/>
  <c r="M328" i="6"/>
  <c r="P328" i="6" s="1"/>
  <c r="P53" i="5"/>
  <c r="P12" i="6"/>
  <c r="M9" i="6"/>
  <c r="I180" i="5"/>
  <c r="K180" i="5" s="1"/>
  <c r="O629" i="6"/>
  <c r="M414" i="6"/>
  <c r="P414" i="6" s="1"/>
  <c r="P419" i="6"/>
  <c r="K77" i="6"/>
  <c r="I65" i="6"/>
  <c r="K65" i="6" s="1"/>
  <c r="K434" i="3"/>
  <c r="O631" i="6"/>
  <c r="M53" i="6"/>
  <c r="P53" i="6" s="1"/>
  <c r="O469" i="6"/>
  <c r="L467" i="6"/>
  <c r="O467" i="6" s="1"/>
  <c r="K76" i="6"/>
  <c r="I64" i="6"/>
  <c r="K64" i="6" s="1"/>
  <c r="M24" i="6"/>
  <c r="L227" i="6"/>
  <c r="O238" i="6"/>
  <c r="O21" i="6"/>
  <c r="P15" i="6"/>
  <c r="P23" i="6"/>
  <c r="M20" i="6"/>
  <c r="M13" i="6"/>
  <c r="M11" i="6" s="1"/>
  <c r="M21" i="6"/>
  <c r="P21" i="6" s="1"/>
  <c r="L88" i="5"/>
  <c r="O88" i="5" s="1"/>
  <c r="K131" i="5"/>
  <c r="L41" i="5"/>
  <c r="O41" i="5" s="1"/>
  <c r="O43" i="5"/>
  <c r="L345" i="5"/>
  <c r="O345" i="5" s="1"/>
  <c r="P149" i="5"/>
  <c r="L629" i="4"/>
  <c r="O629" i="4" s="1"/>
  <c r="N16" i="4"/>
  <c r="N14" i="4" s="1"/>
  <c r="O151" i="4"/>
  <c r="L786" i="5"/>
  <c r="O786" i="5" s="1"/>
  <c r="P90" i="5"/>
  <c r="M88" i="5"/>
  <c r="P88" i="5" s="1"/>
  <c r="M41" i="5"/>
  <c r="P41" i="5" s="1"/>
  <c r="P43" i="5"/>
  <c r="O317" i="4"/>
  <c r="P317" i="4"/>
  <c r="O149" i="5"/>
  <c r="L402" i="5"/>
  <c r="O402" i="5" s="1"/>
  <c r="P300" i="5"/>
  <c r="P151" i="5"/>
  <c r="L53" i="5"/>
  <c r="O53" i="5" s="1"/>
  <c r="M389" i="4"/>
  <c r="P389" i="4" s="1"/>
  <c r="O90" i="4"/>
  <c r="O151" i="5"/>
  <c r="P68" i="5"/>
  <c r="M66" i="5"/>
  <c r="P66" i="5" s="1"/>
  <c r="O68" i="5"/>
  <c r="L66" i="5"/>
  <c r="O66" i="5" s="1"/>
  <c r="I226" i="3"/>
  <c r="I180" i="3" s="1"/>
  <c r="K180" i="3" s="1"/>
  <c r="O53" i="4"/>
  <c r="L389" i="5"/>
  <c r="O389" i="5" s="1"/>
  <c r="O29" i="5"/>
  <c r="P183" i="3"/>
  <c r="P300" i="4"/>
  <c r="P165" i="4"/>
  <c r="O525" i="5"/>
  <c r="L523" i="5"/>
  <c r="O523" i="5" s="1"/>
  <c r="L685" i="5"/>
  <c r="O685" i="5" s="1"/>
  <c r="N298" i="5"/>
  <c r="P298" i="5" s="1"/>
  <c r="L181" i="5"/>
  <c r="O15" i="5"/>
  <c r="K143" i="5"/>
  <c r="N28" i="5"/>
  <c r="O317" i="5"/>
  <c r="L315" i="5"/>
  <c r="O315" i="5" s="1"/>
  <c r="P9" i="5"/>
  <c r="P41" i="4"/>
  <c r="O469" i="5"/>
  <c r="L467" i="5"/>
  <c r="O467" i="5" s="1"/>
  <c r="O167" i="5"/>
  <c r="L165" i="5"/>
  <c r="O9" i="5"/>
  <c r="O23" i="5"/>
  <c r="L20" i="5"/>
  <c r="L13" i="5"/>
  <c r="O300" i="5"/>
  <c r="P15" i="5"/>
  <c r="L277" i="5"/>
  <c r="I65" i="5"/>
  <c r="K65" i="5" s="1"/>
  <c r="K77" i="5"/>
  <c r="M28" i="5"/>
  <c r="P28" i="5" s="1"/>
  <c r="P29" i="5"/>
  <c r="L119" i="5"/>
  <c r="O119" i="5" s="1"/>
  <c r="N21" i="5"/>
  <c r="N13" i="5"/>
  <c r="N20" i="5"/>
  <c r="N18" i="5" s="1"/>
  <c r="P23" i="5"/>
  <c r="M20" i="5"/>
  <c r="M13" i="5"/>
  <c r="O447" i="3"/>
  <c r="P181" i="4"/>
  <c r="O277" i="4"/>
  <c r="L31" i="5"/>
  <c r="O31" i="5" s="1"/>
  <c r="L30" i="5"/>
  <c r="O30" i="5" s="1"/>
  <c r="O33" i="5"/>
  <c r="M328" i="5"/>
  <c r="P328" i="5" s="1"/>
  <c r="P330" i="5"/>
  <c r="M389" i="5"/>
  <c r="P389" i="5" s="1"/>
  <c r="P391" i="5"/>
  <c r="L786" i="4"/>
  <c r="O786" i="4" s="1"/>
  <c r="O183" i="4"/>
  <c r="O181" i="4"/>
  <c r="P183" i="4"/>
  <c r="P523" i="5"/>
  <c r="M414" i="5"/>
  <c r="P414" i="5" s="1"/>
  <c r="O238" i="5"/>
  <c r="L227" i="5"/>
  <c r="O134" i="5"/>
  <c r="N132" i="5"/>
  <c r="O631" i="5"/>
  <c r="L629" i="5"/>
  <c r="O629" i="5" s="1"/>
  <c r="P134" i="5"/>
  <c r="M132" i="5"/>
  <c r="P301" i="5"/>
  <c r="L21" i="5"/>
  <c r="P26" i="5"/>
  <c r="M16" i="5"/>
  <c r="P16" i="5" s="1"/>
  <c r="M24" i="5"/>
  <c r="O26" i="5"/>
  <c r="L16" i="5"/>
  <c r="O16" i="5" s="1"/>
  <c r="L24" i="5"/>
  <c r="M21" i="5"/>
  <c r="O43" i="4"/>
  <c r="L419" i="5"/>
  <c r="P167" i="5"/>
  <c r="N165" i="5"/>
  <c r="P165" i="5" s="1"/>
  <c r="J417" i="5"/>
  <c r="K417" i="5" s="1"/>
  <c r="K433" i="5"/>
  <c r="I64" i="5"/>
  <c r="K64" i="5" s="1"/>
  <c r="K76" i="5"/>
  <c r="N9" i="5"/>
  <c r="M330" i="2"/>
  <c r="M328" i="2" s="1"/>
  <c r="O279" i="3"/>
  <c r="L34" i="3"/>
  <c r="O34" i="3" s="1"/>
  <c r="P347" i="4"/>
  <c r="L41" i="4"/>
  <c r="O41" i="4" s="1"/>
  <c r="O55" i="4"/>
  <c r="O347" i="4"/>
  <c r="O345" i="4"/>
  <c r="L347" i="2"/>
  <c r="L345" i="2" s="1"/>
  <c r="M328" i="4"/>
  <c r="P328" i="4" s="1"/>
  <c r="P26" i="3"/>
  <c r="O183" i="3"/>
  <c r="M315" i="4"/>
  <c r="P315" i="4" s="1"/>
  <c r="P280" i="4"/>
  <c r="N20" i="4"/>
  <c r="N18" i="4" s="1"/>
  <c r="M347" i="2"/>
  <c r="M345" i="2" s="1"/>
  <c r="L30" i="3"/>
  <c r="L28" i="3" s="1"/>
  <c r="L66" i="4"/>
  <c r="O66" i="4" s="1"/>
  <c r="P21" i="4"/>
  <c r="P68" i="4"/>
  <c r="M66" i="4"/>
  <c r="P66" i="4" s="1"/>
  <c r="O279" i="4"/>
  <c r="M389" i="3"/>
  <c r="P389" i="3" s="1"/>
  <c r="L315" i="4"/>
  <c r="O315" i="4" s="1"/>
  <c r="N298" i="4"/>
  <c r="P298" i="4" s="1"/>
  <c r="P90" i="3"/>
  <c r="O55" i="3"/>
  <c r="P55" i="4"/>
  <c r="M53" i="4"/>
  <c r="P53" i="4" s="1"/>
  <c r="K559" i="4"/>
  <c r="I543" i="4"/>
  <c r="K543" i="4" s="1"/>
  <c r="P43" i="4"/>
  <c r="I418" i="4"/>
  <c r="K418" i="4" s="1"/>
  <c r="K434" i="4"/>
  <c r="L523" i="4"/>
  <c r="O523" i="4" s="1"/>
  <c r="O525" i="4"/>
  <c r="P167" i="4"/>
  <c r="N447" i="4"/>
  <c r="O447" i="4" s="1"/>
  <c r="N446" i="4"/>
  <c r="N444" i="4" s="1"/>
  <c r="N414" i="4" s="1"/>
  <c r="N33" i="4"/>
  <c r="O330" i="4"/>
  <c r="L328" i="4"/>
  <c r="O328" i="4" s="1"/>
  <c r="P264" i="4"/>
  <c r="O264" i="4"/>
  <c r="M28" i="4"/>
  <c r="P28" i="4" s="1"/>
  <c r="P29" i="4"/>
  <c r="N347" i="2"/>
  <c r="N345" i="2" s="1"/>
  <c r="O444" i="4"/>
  <c r="O26" i="4"/>
  <c r="L16" i="4"/>
  <c r="L24" i="4"/>
  <c r="O24" i="4" s="1"/>
  <c r="O121" i="4"/>
  <c r="L119" i="4"/>
  <c r="O119" i="4" s="1"/>
  <c r="O446" i="4"/>
  <c r="L230" i="2"/>
  <c r="L655" i="3"/>
  <c r="O655" i="3" s="1"/>
  <c r="L544" i="3"/>
  <c r="O544" i="3" s="1"/>
  <c r="J417" i="4"/>
  <c r="K417" i="4" s="1"/>
  <c r="K433" i="4"/>
  <c r="P26" i="4"/>
  <c r="M16" i="4"/>
  <c r="O300" i="4"/>
  <c r="L298" i="4"/>
  <c r="M24" i="4"/>
  <c r="P24" i="4" s="1"/>
  <c r="O36" i="4"/>
  <c r="L34" i="4"/>
  <c r="O34" i="4" s="1"/>
  <c r="O449" i="4"/>
  <c r="L402" i="4"/>
  <c r="O402" i="4" s="1"/>
  <c r="L229" i="1"/>
  <c r="K340" i="2"/>
  <c r="P347" i="3"/>
  <c r="O66" i="3"/>
  <c r="O347" i="3"/>
  <c r="O421" i="4"/>
  <c r="L419" i="4"/>
  <c r="L467" i="4"/>
  <c r="O467" i="4" s="1"/>
  <c r="M345" i="4"/>
  <c r="P345" i="4" s="1"/>
  <c r="M402" i="4"/>
  <c r="P402" i="4" s="1"/>
  <c r="P19" i="4"/>
  <c r="P151" i="4"/>
  <c r="N149" i="4"/>
  <c r="K288" i="4"/>
  <c r="I164" i="4"/>
  <c r="K164" i="4" s="1"/>
  <c r="K174" i="4"/>
  <c r="K364" i="3"/>
  <c r="P152" i="3"/>
  <c r="N24" i="3"/>
  <c r="P24" i="3" s="1"/>
  <c r="P43" i="3"/>
  <c r="O546" i="4"/>
  <c r="L544" i="4"/>
  <c r="O544" i="4" s="1"/>
  <c r="O391" i="4"/>
  <c r="L389" i="4"/>
  <c r="O389" i="4" s="1"/>
  <c r="K237" i="4"/>
  <c r="I226" i="4"/>
  <c r="N9" i="4"/>
  <c r="M88" i="4"/>
  <c r="O19" i="4"/>
  <c r="P263" i="4"/>
  <c r="N261" i="4"/>
  <c r="O261" i="4" s="1"/>
  <c r="O238" i="4"/>
  <c r="L227" i="4"/>
  <c r="O167" i="4"/>
  <c r="L165" i="4"/>
  <c r="O165" i="4" s="1"/>
  <c r="K275" i="4"/>
  <c r="I64" i="4"/>
  <c r="K64" i="4" s="1"/>
  <c r="K76" i="4"/>
  <c r="O23" i="4"/>
  <c r="L20" i="4"/>
  <c r="L13" i="4"/>
  <c r="L11" i="4" s="1"/>
  <c r="L21" i="4"/>
  <c r="O21" i="4" s="1"/>
  <c r="K76" i="3"/>
  <c r="L119" i="3"/>
  <c r="O119" i="3" s="1"/>
  <c r="O68" i="3"/>
  <c r="O657" i="4"/>
  <c r="N655" i="4"/>
  <c r="O655" i="4" s="1"/>
  <c r="M414" i="4"/>
  <c r="P414" i="4" s="1"/>
  <c r="P419" i="4"/>
  <c r="I65" i="4"/>
  <c r="K65" i="4" s="1"/>
  <c r="K77" i="4"/>
  <c r="O12" i="4"/>
  <c r="L9" i="4"/>
  <c r="P12" i="4"/>
  <c r="M9" i="4"/>
  <c r="P279" i="4"/>
  <c r="M277" i="4"/>
  <c r="P277" i="4" s="1"/>
  <c r="P23" i="4"/>
  <c r="M20" i="4"/>
  <c r="M13" i="4"/>
  <c r="M11" i="4" s="1"/>
  <c r="O33" i="4"/>
  <c r="L30" i="4"/>
  <c r="L31" i="4"/>
  <c r="L328" i="3"/>
  <c r="O328" i="3" s="1"/>
  <c r="P55" i="3"/>
  <c r="L16" i="3"/>
  <c r="O16" i="3" s="1"/>
  <c r="P134" i="3"/>
  <c r="L53" i="3"/>
  <c r="O53" i="3" s="1"/>
  <c r="O88" i="3"/>
  <c r="P56" i="3"/>
  <c r="L227" i="3"/>
  <c r="P303" i="2"/>
  <c r="P323" i="2"/>
  <c r="K370" i="2"/>
  <c r="L345" i="3"/>
  <c r="O345" i="3" s="1"/>
  <c r="L629" i="3"/>
  <c r="O629" i="3" s="1"/>
  <c r="L181" i="3"/>
  <c r="O181" i="3" s="1"/>
  <c r="L402" i="3"/>
  <c r="O402" i="3" s="1"/>
  <c r="O261" i="3"/>
  <c r="O149" i="3"/>
  <c r="P167" i="3"/>
  <c r="M165" i="3"/>
  <c r="P165" i="3" s="1"/>
  <c r="P404" i="3"/>
  <c r="M402" i="3"/>
  <c r="P402" i="3" s="1"/>
  <c r="O469" i="3"/>
  <c r="L467" i="3"/>
  <c r="O467" i="3" s="1"/>
  <c r="M23" i="2"/>
  <c r="M13" i="2" s="1"/>
  <c r="M121" i="2"/>
  <c r="P121" i="2" s="1"/>
  <c r="O263" i="3"/>
  <c r="O151" i="3"/>
  <c r="M16" i="3"/>
  <c r="P16" i="3" s="1"/>
  <c r="M298" i="3"/>
  <c r="P298" i="3" s="1"/>
  <c r="P300" i="3"/>
  <c r="M132" i="3"/>
  <c r="P132" i="3" s="1"/>
  <c r="K79" i="1"/>
  <c r="K82" i="1"/>
  <c r="L631" i="1"/>
  <c r="L629" i="1" s="1"/>
  <c r="P49" i="2"/>
  <c r="M90" i="2"/>
  <c r="M88" i="2" s="1"/>
  <c r="M94" i="2"/>
  <c r="P94" i="2" s="1"/>
  <c r="O96" i="2"/>
  <c r="K647" i="2"/>
  <c r="L298" i="3"/>
  <c r="O298" i="3" s="1"/>
  <c r="P263" i="3"/>
  <c r="M41" i="3"/>
  <c r="P41" i="3" s="1"/>
  <c r="O26" i="3"/>
  <c r="N279" i="2"/>
  <c r="N277" i="2" s="1"/>
  <c r="L300" i="2"/>
  <c r="L298" i="2" s="1"/>
  <c r="K720" i="2"/>
  <c r="O90" i="3"/>
  <c r="L315" i="3"/>
  <c r="O315" i="3" s="1"/>
  <c r="O317" i="3"/>
  <c r="O134" i="3"/>
  <c r="L132" i="3"/>
  <c r="O132" i="3" s="1"/>
  <c r="L330" i="2"/>
  <c r="L631" i="2"/>
  <c r="L629" i="2" s="1"/>
  <c r="M345" i="3"/>
  <c r="P345" i="3" s="1"/>
  <c r="M119" i="3"/>
  <c r="P119" i="3" s="1"/>
  <c r="L786" i="3"/>
  <c r="O786" i="3" s="1"/>
  <c r="N37" i="3"/>
  <c r="K143" i="3"/>
  <c r="L523" i="3"/>
  <c r="O523" i="3" s="1"/>
  <c r="O525" i="3"/>
  <c r="P151" i="3"/>
  <c r="O19" i="3"/>
  <c r="N68" i="2"/>
  <c r="N66" i="2" s="1"/>
  <c r="J364" i="2"/>
  <c r="K381" i="2"/>
  <c r="L391" i="2"/>
  <c r="L389" i="2" s="1"/>
  <c r="O389" i="2" s="1"/>
  <c r="M315" i="3"/>
  <c r="P315" i="3" s="1"/>
  <c r="P317" i="3"/>
  <c r="K275" i="3"/>
  <c r="O167" i="3"/>
  <c r="L165" i="3"/>
  <c r="O165" i="3" s="1"/>
  <c r="O31" i="3"/>
  <c r="N28" i="3"/>
  <c r="M261" i="3"/>
  <c r="P261" i="3" s="1"/>
  <c r="N31" i="3"/>
  <c r="L639" i="1"/>
  <c r="O639" i="1" s="1"/>
  <c r="J417" i="3"/>
  <c r="K417" i="3" s="1"/>
  <c r="K433" i="3"/>
  <c r="M414" i="3"/>
  <c r="P414" i="3" s="1"/>
  <c r="P419" i="3"/>
  <c r="N20" i="3"/>
  <c r="N18" i="3" s="1"/>
  <c r="N13" i="3"/>
  <c r="N10" i="3" s="1"/>
  <c r="M21" i="3"/>
  <c r="P23" i="3"/>
  <c r="M20" i="3"/>
  <c r="M13" i="3"/>
  <c r="O23" i="3"/>
  <c r="L20" i="3"/>
  <c r="L18" i="3" s="1"/>
  <c r="L13" i="3"/>
  <c r="N167" i="2"/>
  <c r="N165" i="2" s="1"/>
  <c r="N183" i="2"/>
  <c r="N181" i="2" s="1"/>
  <c r="K462" i="2"/>
  <c r="O444" i="3"/>
  <c r="K288" i="3"/>
  <c r="I65" i="3"/>
  <c r="K65" i="3" s="1"/>
  <c r="K77" i="3"/>
  <c r="P15" i="3"/>
  <c r="O15" i="3"/>
  <c r="L41" i="3"/>
  <c r="P68" i="3"/>
  <c r="M66" i="3"/>
  <c r="P66" i="3" s="1"/>
  <c r="O137" i="2"/>
  <c r="M151" i="2"/>
  <c r="P151" i="2" s="1"/>
  <c r="L533" i="2"/>
  <c r="O533" i="2" s="1"/>
  <c r="O391" i="3"/>
  <c r="L389" i="3"/>
  <c r="O389" i="3" s="1"/>
  <c r="M277" i="3"/>
  <c r="P277" i="3" s="1"/>
  <c r="P279" i="3"/>
  <c r="M9" i="3"/>
  <c r="L9" i="3"/>
  <c r="L277" i="3"/>
  <c r="O277" i="3" s="1"/>
  <c r="P149" i="3"/>
  <c r="O33" i="3"/>
  <c r="L238" i="2"/>
  <c r="O238" i="2" s="1"/>
  <c r="K359" i="2"/>
  <c r="K701" i="2"/>
  <c r="K559" i="3"/>
  <c r="I543" i="3"/>
  <c r="K543" i="3" s="1"/>
  <c r="M328" i="3"/>
  <c r="P328" i="3" s="1"/>
  <c r="L685" i="3"/>
  <c r="O685" i="3" s="1"/>
  <c r="M53" i="3"/>
  <c r="P53" i="3" s="1"/>
  <c r="N9" i="3"/>
  <c r="M88" i="3"/>
  <c r="P88" i="3" s="1"/>
  <c r="K131" i="3"/>
  <c r="N21" i="3"/>
  <c r="O21" i="3" s="1"/>
  <c r="L59" i="2"/>
  <c r="O59" i="2" s="1"/>
  <c r="J143" i="2"/>
  <c r="J131" i="2" s="1"/>
  <c r="I190" i="2"/>
  <c r="K190" i="2" s="1"/>
  <c r="I237" i="2"/>
  <c r="K237" i="2" s="1"/>
  <c r="I236" i="1"/>
  <c r="K145" i="2"/>
  <c r="N168" i="2"/>
  <c r="P168" i="2" s="1"/>
  <c r="O282" i="2"/>
  <c r="M300" i="2"/>
  <c r="M298" i="2" s="1"/>
  <c r="K372" i="2"/>
  <c r="L639" i="2"/>
  <c r="O639" i="2" s="1"/>
  <c r="L657" i="2"/>
  <c r="O657" i="2" s="1"/>
  <c r="K723" i="2"/>
  <c r="K801" i="2"/>
  <c r="N263" i="2"/>
  <c r="N261" i="2" s="1"/>
  <c r="N301" i="2"/>
  <c r="P301" i="2" s="1"/>
  <c r="M304" i="2"/>
  <c r="P304" i="2" s="1"/>
  <c r="K378" i="2"/>
  <c r="M408" i="2"/>
  <c r="P408" i="2" s="1"/>
  <c r="M347" i="1"/>
  <c r="M345" i="1" s="1"/>
  <c r="K271" i="2"/>
  <c r="L279" i="2"/>
  <c r="L277" i="2" s="1"/>
  <c r="L283" i="2"/>
  <c r="O283" i="2" s="1"/>
  <c r="L55" i="2"/>
  <c r="L53" i="2" s="1"/>
  <c r="N55" i="2"/>
  <c r="N53" i="2" s="1"/>
  <c r="L69" i="2"/>
  <c r="O69" i="2" s="1"/>
  <c r="M167" i="2"/>
  <c r="M165" i="2" s="1"/>
  <c r="O46" i="2"/>
  <c r="N121" i="2"/>
  <c r="N119" i="2" s="1"/>
  <c r="K255" i="2"/>
  <c r="N280" i="2"/>
  <c r="O303" i="2"/>
  <c r="O323" i="2"/>
  <c r="N391" i="2"/>
  <c r="N389" i="2" s="1"/>
  <c r="K651" i="2"/>
  <c r="O660" i="2"/>
  <c r="K489" i="1"/>
  <c r="M59" i="2"/>
  <c r="P59" i="2" s="1"/>
  <c r="N90" i="2"/>
  <c r="N88" i="2" s="1"/>
  <c r="M122" i="2"/>
  <c r="P122" i="2" s="1"/>
  <c r="M134" i="2"/>
  <c r="P134" i="2" s="1"/>
  <c r="L249" i="2"/>
  <c r="O249" i="2" s="1"/>
  <c r="M263" i="2"/>
  <c r="M261" i="2" s="1"/>
  <c r="P333" i="2"/>
  <c r="P350" i="2"/>
  <c r="P353" i="2"/>
  <c r="K379" i="2"/>
  <c r="L421" i="2"/>
  <c r="O421" i="2" s="1"/>
  <c r="I785" i="2"/>
  <c r="K823" i="2"/>
  <c r="K826" i="2"/>
  <c r="N43" i="2"/>
  <c r="N41" i="2" s="1"/>
  <c r="K206" i="1"/>
  <c r="L43" i="2"/>
  <c r="L41" i="2" s="1"/>
  <c r="N47" i="2"/>
  <c r="O49" i="2"/>
  <c r="P124" i="2"/>
  <c r="M138" i="2"/>
  <c r="P138" i="2" s="1"/>
  <c r="I143" i="2"/>
  <c r="I131" i="2" s="1"/>
  <c r="K131" i="2" s="1"/>
  <c r="M152" i="2"/>
  <c r="P152" i="2" s="1"/>
  <c r="L229" i="2"/>
  <c r="M267" i="2"/>
  <c r="P267" i="2" s="1"/>
  <c r="I314" i="2"/>
  <c r="K314" i="2" s="1"/>
  <c r="N330" i="2"/>
  <c r="N328" i="2" s="1"/>
  <c r="J327" i="2"/>
  <c r="K327" i="2" s="1"/>
  <c r="P348" i="2"/>
  <c r="P351" i="2"/>
  <c r="M405" i="2"/>
  <c r="P405" i="2" s="1"/>
  <c r="L688" i="2"/>
  <c r="O688" i="2" s="1"/>
  <c r="J721" i="2"/>
  <c r="K721" i="2" s="1"/>
  <c r="J722" i="2"/>
  <c r="K722" i="2" s="1"/>
  <c r="O91" i="2"/>
  <c r="N404" i="2"/>
  <c r="N402" i="2" s="1"/>
  <c r="K822" i="1"/>
  <c r="K828" i="1"/>
  <c r="M391" i="2"/>
  <c r="P391" i="2" s="1"/>
  <c r="O410" i="2"/>
  <c r="I628" i="2"/>
  <c r="K628" i="2" s="1"/>
  <c r="O191" i="1"/>
  <c r="M279" i="1"/>
  <c r="M277" i="1" s="1"/>
  <c r="L44" i="2"/>
  <c r="O44" i="2" s="1"/>
  <c r="N59" i="2"/>
  <c r="L68" i="2"/>
  <c r="O68" i="2" s="1"/>
  <c r="L72" i="2"/>
  <c r="O72" i="2" s="1"/>
  <c r="L125" i="2"/>
  <c r="O125" i="2" s="1"/>
  <c r="P154" i="2"/>
  <c r="O170" i="2"/>
  <c r="K176" i="2"/>
  <c r="N184" i="2"/>
  <c r="P184" i="2" s="1"/>
  <c r="O186" i="2"/>
  <c r="N264" i="2"/>
  <c r="O264" i="2" s="1"/>
  <c r="P266" i="2"/>
  <c r="N300" i="2"/>
  <c r="N298" i="2" s="1"/>
  <c r="K309" i="2"/>
  <c r="K360" i="2"/>
  <c r="K374" i="2"/>
  <c r="O456" i="2"/>
  <c r="I522" i="2"/>
  <c r="K522" i="2" s="1"/>
  <c r="L525" i="2"/>
  <c r="O525" i="2" s="1"/>
  <c r="I654" i="2"/>
  <c r="K654" i="2" s="1"/>
  <c r="O791" i="2"/>
  <c r="O96" i="1"/>
  <c r="M68" i="2"/>
  <c r="I76" i="2"/>
  <c r="K76" i="2" s="1"/>
  <c r="L121" i="2"/>
  <c r="M125" i="2"/>
  <c r="P125" i="2" s="1"/>
  <c r="K146" i="2"/>
  <c r="L155" i="2"/>
  <c r="O155" i="2" s="1"/>
  <c r="M171" i="2"/>
  <c r="P171" i="2" s="1"/>
  <c r="O189" i="2"/>
  <c r="K215" i="2"/>
  <c r="L217" i="2"/>
  <c r="O217" i="2" s="1"/>
  <c r="L228" i="2"/>
  <c r="I233" i="2"/>
  <c r="K233" i="2" s="1"/>
  <c r="L317" i="2"/>
  <c r="L315" i="2" s="1"/>
  <c r="K369" i="2"/>
  <c r="O431" i="2"/>
  <c r="O549" i="2"/>
  <c r="L632" i="2"/>
  <c r="J785" i="2"/>
  <c r="K821" i="2"/>
  <c r="K824" i="2"/>
  <c r="K827" i="2"/>
  <c r="O320" i="1"/>
  <c r="L36" i="2"/>
  <c r="P46" i="2"/>
  <c r="P74" i="2"/>
  <c r="K80" i="2"/>
  <c r="P91" i="2"/>
  <c r="L122" i="2"/>
  <c r="O122" i="2" s="1"/>
  <c r="M155" i="2"/>
  <c r="P155" i="2" s="1"/>
  <c r="L183" i="2"/>
  <c r="L198" i="2"/>
  <c r="O198" i="2" s="1"/>
  <c r="I216" i="2"/>
  <c r="K216" i="2" s="1"/>
  <c r="K297" i="2"/>
  <c r="M317" i="2"/>
  <c r="M315" i="2" s="1"/>
  <c r="I364" i="2"/>
  <c r="M392" i="2"/>
  <c r="P392" i="2" s="1"/>
  <c r="M395" i="2"/>
  <c r="P395" i="2" s="1"/>
  <c r="L404" i="2"/>
  <c r="O404" i="2" s="1"/>
  <c r="O407" i="2"/>
  <c r="O472" i="2"/>
  <c r="L546" i="2"/>
  <c r="I592" i="2"/>
  <c r="K592" i="2" s="1"/>
  <c r="P32" i="1"/>
  <c r="K78" i="1"/>
  <c r="M300" i="1"/>
  <c r="M298" i="1" s="1"/>
  <c r="K359" i="1"/>
  <c r="I86" i="2"/>
  <c r="K86" i="2" s="1"/>
  <c r="N134" i="2"/>
  <c r="N132" i="2" s="1"/>
  <c r="N151" i="2"/>
  <c r="N149" i="2" s="1"/>
  <c r="O266" i="2"/>
  <c r="L280" i="2"/>
  <c r="O306" i="2"/>
  <c r="M331" i="2"/>
  <c r="P331" i="2" s="1"/>
  <c r="M334" i="2"/>
  <c r="P334" i="2" s="1"/>
  <c r="K362" i="2"/>
  <c r="M404" i="2"/>
  <c r="I433" i="2"/>
  <c r="I417" i="2" s="1"/>
  <c r="K822" i="2"/>
  <c r="K825" i="2"/>
  <c r="K828" i="2"/>
  <c r="L33" i="2"/>
  <c r="L31" i="2" s="1"/>
  <c r="M149" i="2"/>
  <c r="P149" i="2" s="1"/>
  <c r="K174" i="2"/>
  <c r="P186" i="2"/>
  <c r="K355" i="2"/>
  <c r="K385" i="2"/>
  <c r="L446" i="2"/>
  <c r="O446" i="2" s="1"/>
  <c r="K672" i="2"/>
  <c r="K725" i="2"/>
  <c r="K803" i="2"/>
  <c r="N9" i="2"/>
  <c r="L318" i="1"/>
  <c r="O318" i="1" s="1"/>
  <c r="P12" i="2"/>
  <c r="M9" i="2"/>
  <c r="N26" i="2"/>
  <c r="P56" i="2"/>
  <c r="I77" i="2"/>
  <c r="K79" i="2"/>
  <c r="L267" i="2"/>
  <c r="O267" i="2" s="1"/>
  <c r="O269" i="2"/>
  <c r="K99" i="2"/>
  <c r="I87" i="2"/>
  <c r="K87" i="2" s="1"/>
  <c r="O22" i="2"/>
  <c r="P25" i="2"/>
  <c r="M15" i="2"/>
  <c r="O29" i="2"/>
  <c r="M31" i="2"/>
  <c r="P31" i="2" s="1"/>
  <c r="N34" i="2"/>
  <c r="O93" i="2"/>
  <c r="L90" i="2"/>
  <c r="O154" i="2"/>
  <c r="L151" i="2"/>
  <c r="L348" i="2"/>
  <c r="O348" i="2" s="1"/>
  <c r="O350" i="2"/>
  <c r="L351" i="2"/>
  <c r="O351" i="2" s="1"/>
  <c r="O353" i="2"/>
  <c r="O46" i="1"/>
  <c r="M43" i="1"/>
  <c r="M41" i="1" s="1"/>
  <c r="K144" i="1"/>
  <c r="L267" i="1"/>
  <c r="O267" i="1" s="1"/>
  <c r="L533" i="1"/>
  <c r="O533" i="1" s="1"/>
  <c r="J708" i="1"/>
  <c r="K708" i="1" s="1"/>
  <c r="K823" i="1"/>
  <c r="K826" i="1"/>
  <c r="L19" i="2"/>
  <c r="N31" i="2"/>
  <c r="L152" i="2"/>
  <c r="O152" i="2" s="1"/>
  <c r="L231" i="2"/>
  <c r="N318" i="2"/>
  <c r="O318" i="2" s="1"/>
  <c r="N317" i="2"/>
  <c r="N315" i="2" s="1"/>
  <c r="L151" i="1"/>
  <c r="L149" i="1" s="1"/>
  <c r="L15" i="2"/>
  <c r="N19" i="2"/>
  <c r="L26" i="2"/>
  <c r="M30" i="2"/>
  <c r="P30" i="2" s="1"/>
  <c r="M44" i="2"/>
  <c r="P44" i="2" s="1"/>
  <c r="M43" i="2"/>
  <c r="L138" i="2"/>
  <c r="O138" i="2" s="1"/>
  <c r="O140" i="2"/>
  <c r="L134" i="2"/>
  <c r="O166" i="2"/>
  <c r="P120" i="2"/>
  <c r="K164" i="2"/>
  <c r="K81" i="1"/>
  <c r="K84" i="1"/>
  <c r="K495" i="1"/>
  <c r="K674" i="1"/>
  <c r="L12" i="2"/>
  <c r="L23" i="2"/>
  <c r="M26" i="2"/>
  <c r="O56" i="2"/>
  <c r="P58" i="2"/>
  <c r="M55" i="2"/>
  <c r="M187" i="2"/>
  <c r="P187" i="2" s="1"/>
  <c r="P262" i="2"/>
  <c r="P32" i="2"/>
  <c r="M29" i="2"/>
  <c r="N23" i="2"/>
  <c r="I112" i="2"/>
  <c r="K112" i="2" s="1"/>
  <c r="M135" i="2"/>
  <c r="P135" i="2" s="1"/>
  <c r="I148" i="2"/>
  <c r="K148" i="2" s="1"/>
  <c r="P170" i="2"/>
  <c r="L209" i="2"/>
  <c r="O209" i="2" s="1"/>
  <c r="I276" i="2"/>
  <c r="K276" i="2" s="1"/>
  <c r="N69" i="2"/>
  <c r="P316" i="2"/>
  <c r="J288" i="2"/>
  <c r="J275" i="2" s="1"/>
  <c r="I275" i="2"/>
  <c r="O739" i="2"/>
  <c r="L737" i="2"/>
  <c r="O737" i="2" s="1"/>
  <c r="O58" i="2"/>
  <c r="P93" i="2"/>
  <c r="L167" i="2"/>
  <c r="M183" i="2"/>
  <c r="K204" i="2"/>
  <c r="I197" i="2"/>
  <c r="K197" i="2" s="1"/>
  <c r="K225" i="2"/>
  <c r="L263" i="2"/>
  <c r="O320" i="2"/>
  <c r="L392" i="2"/>
  <c r="O392" i="2" s="1"/>
  <c r="O394" i="2"/>
  <c r="L395" i="2"/>
  <c r="O395" i="2" s="1"/>
  <c r="O397" i="2"/>
  <c r="P71" i="2"/>
  <c r="O173" i="2"/>
  <c r="K260" i="2"/>
  <c r="M280" i="2"/>
  <c r="M279" i="2"/>
  <c r="P282" i="2"/>
  <c r="K559" i="2"/>
  <c r="I543" i="2"/>
  <c r="K543" i="2" s="1"/>
  <c r="P656" i="2"/>
  <c r="M655" i="2"/>
  <c r="P655" i="2" s="1"/>
  <c r="P525" i="2"/>
  <c r="M523" i="2"/>
  <c r="P523" i="2" s="1"/>
  <c r="K576" i="2"/>
  <c r="J559" i="2"/>
  <c r="J543" i="2" s="1"/>
  <c r="N739" i="2"/>
  <c r="N740" i="2"/>
  <c r="O756" i="2"/>
  <c r="L754" i="2"/>
  <c r="O754" i="2" s="1"/>
  <c r="O278" i="2"/>
  <c r="K338" i="2"/>
  <c r="L422" i="2"/>
  <c r="O422" i="2" s="1"/>
  <c r="O424" i="2"/>
  <c r="L477" i="2"/>
  <c r="O477" i="2" s="1"/>
  <c r="O479" i="2"/>
  <c r="L469" i="2"/>
  <c r="O524" i="2"/>
  <c r="P807" i="2"/>
  <c r="M805" i="2"/>
  <c r="P805" i="2" s="1"/>
  <c r="L447" i="2"/>
  <c r="O447" i="2" s="1"/>
  <c r="O449" i="2"/>
  <c r="N526" i="2"/>
  <c r="O634" i="2"/>
  <c r="N631" i="2"/>
  <c r="N629" i="2" s="1"/>
  <c r="N632" i="2"/>
  <c r="N756" i="2"/>
  <c r="N757" i="2"/>
  <c r="O772" i="2"/>
  <c r="L770" i="2"/>
  <c r="O770" i="2" s="1"/>
  <c r="O806" i="2"/>
  <c r="L805" i="2"/>
  <c r="O805" i="2" s="1"/>
  <c r="J537" i="2"/>
  <c r="J522" i="2" s="1"/>
  <c r="K539" i="2"/>
  <c r="N737" i="2"/>
  <c r="P285" i="2"/>
  <c r="L331" i="2"/>
  <c r="O331" i="2" s="1"/>
  <c r="O333" i="2"/>
  <c r="L334" i="2"/>
  <c r="O334" i="2" s="1"/>
  <c r="O336" i="2"/>
  <c r="I434" i="2"/>
  <c r="K438" i="2"/>
  <c r="K649" i="2"/>
  <c r="N687" i="2"/>
  <c r="N685" i="2" s="1"/>
  <c r="N688" i="2"/>
  <c r="K708" i="2"/>
  <c r="N754" i="2"/>
  <c r="N772" i="2"/>
  <c r="N770" i="2" s="1"/>
  <c r="N773" i="2"/>
  <c r="O528" i="2"/>
  <c r="K669" i="2"/>
  <c r="K673" i="2"/>
  <c r="L687" i="2"/>
  <c r="P320" i="2"/>
  <c r="L555" i="2"/>
  <c r="O555" i="2" s="1"/>
  <c r="K674" i="2"/>
  <c r="J433" i="2"/>
  <c r="J417" i="2" s="1"/>
  <c r="N469" i="2"/>
  <c r="N467" i="2" s="1"/>
  <c r="M737" i="2"/>
  <c r="P737" i="2" s="1"/>
  <c r="M754" i="2"/>
  <c r="P754" i="2" s="1"/>
  <c r="M770" i="2"/>
  <c r="P770" i="2" s="1"/>
  <c r="L786" i="2"/>
  <c r="N788" i="2"/>
  <c r="K365" i="2"/>
  <c r="I388" i="1"/>
  <c r="K388" i="1" s="1"/>
  <c r="M68" i="1"/>
  <c r="M66" i="1" s="1"/>
  <c r="P96" i="1"/>
  <c r="K260" i="1"/>
  <c r="J596" i="1"/>
  <c r="N229" i="1"/>
  <c r="K255" i="1"/>
  <c r="K311" i="1"/>
  <c r="J434" i="1"/>
  <c r="J418" i="1" s="1"/>
  <c r="I785" i="1"/>
  <c r="K720" i="1"/>
  <c r="K102" i="1"/>
  <c r="K106" i="1"/>
  <c r="K110" i="1"/>
  <c r="K225" i="1"/>
  <c r="M391" i="1"/>
  <c r="P391" i="1" s="1"/>
  <c r="K643" i="1"/>
  <c r="K649" i="1"/>
  <c r="K725" i="1"/>
  <c r="J785" i="1"/>
  <c r="N68" i="1"/>
  <c r="N66" i="1" s="1"/>
  <c r="N90" i="1"/>
  <c r="N88" i="1" s="1"/>
  <c r="K111" i="1"/>
  <c r="K118" i="1"/>
  <c r="M183" i="1"/>
  <c r="M181" i="1" s="1"/>
  <c r="L217" i="1"/>
  <c r="M263" i="1"/>
  <c r="M261" i="1" s="1"/>
  <c r="K275" i="1"/>
  <c r="K369" i="1"/>
  <c r="J364" i="1"/>
  <c r="M404" i="1"/>
  <c r="P404" i="1" s="1"/>
  <c r="K290" i="1"/>
  <c r="K370" i="1"/>
  <c r="K381" i="1"/>
  <c r="M405" i="1"/>
  <c r="P405" i="1" s="1"/>
  <c r="M408" i="1"/>
  <c r="P408" i="1" s="1"/>
  <c r="K485" i="1"/>
  <c r="K541" i="1"/>
  <c r="M47" i="1"/>
  <c r="P47" i="1" s="1"/>
  <c r="M134" i="1"/>
  <c r="M132" i="1" s="1"/>
  <c r="M151" i="1"/>
  <c r="M149" i="1" s="1"/>
  <c r="N228" i="1"/>
  <c r="N231" i="1"/>
  <c r="J236" i="1"/>
  <c r="L230" i="1"/>
  <c r="P320" i="1"/>
  <c r="K542" i="1"/>
  <c r="M55" i="1"/>
  <c r="M53" i="1" s="1"/>
  <c r="K104" i="1"/>
  <c r="K109" i="1"/>
  <c r="K244" i="1"/>
  <c r="O301" i="1"/>
  <c r="K379" i="1"/>
  <c r="N528" i="1"/>
  <c r="N525" i="1" s="1"/>
  <c r="N523" i="1" s="1"/>
  <c r="K537" i="1"/>
  <c r="K80" i="1"/>
  <c r="K83" i="1"/>
  <c r="K103" i="1"/>
  <c r="K107" i="1"/>
  <c r="K146" i="1"/>
  <c r="O170" i="1"/>
  <c r="J233" i="1"/>
  <c r="M267" i="1"/>
  <c r="P267" i="1" s="1"/>
  <c r="P269" i="1"/>
  <c r="N279" i="1"/>
  <c r="N277" i="1" s="1"/>
  <c r="M283" i="1"/>
  <c r="P283" i="1" s="1"/>
  <c r="K294" i="1"/>
  <c r="M334" i="1"/>
  <c r="P334" i="1" s="1"/>
  <c r="K378" i="1"/>
  <c r="M395" i="1"/>
  <c r="P395" i="1" s="1"/>
  <c r="J560" i="1"/>
  <c r="K560" i="1" s="1"/>
  <c r="K644" i="1"/>
  <c r="J722" i="1"/>
  <c r="K722" i="1" s="1"/>
  <c r="J729" i="1"/>
  <c r="K729" i="1" s="1"/>
  <c r="J248" i="1"/>
  <c r="J226" i="1" s="1"/>
  <c r="J180" i="1" s="1"/>
  <c r="M330" i="1"/>
  <c r="M328" i="1" s="1"/>
  <c r="J327" i="1"/>
  <c r="K327" i="1" s="1"/>
  <c r="L395" i="1"/>
  <c r="O395" i="1" s="1"/>
  <c r="I522" i="1"/>
  <c r="K522" i="1" s="1"/>
  <c r="L152" i="1"/>
  <c r="O152" i="1" s="1"/>
  <c r="M155" i="1"/>
  <c r="P155" i="1" s="1"/>
  <c r="K271" i="1"/>
  <c r="K291" i="1"/>
  <c r="P318" i="1"/>
  <c r="J679" i="1"/>
  <c r="J678" i="1" s="1"/>
  <c r="K700" i="1"/>
  <c r="K801" i="1"/>
  <c r="L167" i="1"/>
  <c r="L165" i="1" s="1"/>
  <c r="K113" i="1"/>
  <c r="J112" i="1"/>
  <c r="N121" i="1"/>
  <c r="N119" i="1" s="1"/>
  <c r="M184" i="1"/>
  <c r="P186" i="1"/>
  <c r="K204" i="1"/>
  <c r="L209" i="1"/>
  <c r="K258" i="1"/>
  <c r="K310" i="1"/>
  <c r="M317" i="1"/>
  <c r="M315" i="1" s="1"/>
  <c r="L317" i="1"/>
  <c r="L315" i="1" s="1"/>
  <c r="K487" i="1"/>
  <c r="K538" i="1"/>
  <c r="K723" i="1"/>
  <c r="L788" i="1"/>
  <c r="L786" i="1" s="1"/>
  <c r="N55" i="1"/>
  <c r="N53" i="1" s="1"/>
  <c r="I401" i="1"/>
  <c r="K401" i="1" s="1"/>
  <c r="J77" i="1"/>
  <c r="J65" i="1" s="1"/>
  <c r="L90" i="1"/>
  <c r="L88" i="1" s="1"/>
  <c r="M121" i="1"/>
  <c r="M119" i="1" s="1"/>
  <c r="K145" i="1"/>
  <c r="K288" i="1"/>
  <c r="L330" i="1"/>
  <c r="L328" i="1" s="1"/>
  <c r="K385" i="1"/>
  <c r="K492" i="1"/>
  <c r="N549" i="1"/>
  <c r="O549" i="1" s="1"/>
  <c r="J561" i="1"/>
  <c r="K561" i="1" s="1"/>
  <c r="J595" i="1"/>
  <c r="J620" i="1"/>
  <c r="K620" i="1" s="1"/>
  <c r="L632" i="1"/>
  <c r="J675" i="1"/>
  <c r="K675" i="1" s="1"/>
  <c r="K821" i="1"/>
  <c r="K824" i="1"/>
  <c r="K827" i="1"/>
  <c r="P351" i="1"/>
  <c r="L36" i="1"/>
  <c r="N168" i="1"/>
  <c r="O168" i="1" s="1"/>
  <c r="L171" i="1"/>
  <c r="O171" i="1" s="1"/>
  <c r="M187" i="1"/>
  <c r="P187" i="1" s="1"/>
  <c r="K216" i="1"/>
  <c r="K276" i="1"/>
  <c r="K312" i="1"/>
  <c r="N317" i="1"/>
  <c r="N315" i="1" s="1"/>
  <c r="O323" i="1"/>
  <c r="K362" i="1"/>
  <c r="L391" i="1"/>
  <c r="O391" i="1" s="1"/>
  <c r="K438" i="1"/>
  <c r="N449" i="1"/>
  <c r="O449" i="1" s="1"/>
  <c r="O456" i="1"/>
  <c r="K498" i="1"/>
  <c r="L525" i="1"/>
  <c r="L523" i="1" s="1"/>
  <c r="J603" i="1"/>
  <c r="I654" i="1"/>
  <c r="J721" i="1"/>
  <c r="K721" i="1" s="1"/>
  <c r="L121" i="1"/>
  <c r="L119" i="1" s="1"/>
  <c r="M26" i="1"/>
  <c r="M16" i="1" s="1"/>
  <c r="L43" i="1"/>
  <c r="L41" i="1" s="1"/>
  <c r="O58" i="1"/>
  <c r="O61" i="1"/>
  <c r="M69" i="1"/>
  <c r="M72" i="1"/>
  <c r="P72" i="1" s="1"/>
  <c r="K98" i="1"/>
  <c r="K115" i="1"/>
  <c r="M122" i="1"/>
  <c r="P122" i="1" s="1"/>
  <c r="N134" i="1"/>
  <c r="N132" i="1" s="1"/>
  <c r="O137" i="1"/>
  <c r="I143" i="1"/>
  <c r="M152" i="1"/>
  <c r="P152" i="1" s="1"/>
  <c r="P154" i="1"/>
  <c r="L198" i="1"/>
  <c r="K224" i="1"/>
  <c r="I237" i="1"/>
  <c r="I226" i="1" s="1"/>
  <c r="K247" i="1"/>
  <c r="O266" i="1"/>
  <c r="M280" i="1"/>
  <c r="P280" i="1" s="1"/>
  <c r="P282" i="1"/>
  <c r="M301" i="1"/>
  <c r="P301" i="1" s="1"/>
  <c r="P303" i="1"/>
  <c r="K314" i="1"/>
  <c r="P323" i="1"/>
  <c r="K338" i="1"/>
  <c r="K355" i="1"/>
  <c r="J569" i="1"/>
  <c r="K569" i="1" s="1"/>
  <c r="J583" i="1"/>
  <c r="J577" i="1" s="1"/>
  <c r="K577" i="1" s="1"/>
  <c r="K672" i="1"/>
  <c r="J701" i="1"/>
  <c r="K701" i="1" s="1"/>
  <c r="K148" i="1"/>
  <c r="L33" i="1"/>
  <c r="P46" i="1"/>
  <c r="P58" i="1"/>
  <c r="P61" i="1"/>
  <c r="O74" i="1"/>
  <c r="M90" i="1"/>
  <c r="M88" i="1" s="1"/>
  <c r="J100" i="1"/>
  <c r="K100" i="1" s="1"/>
  <c r="K116" i="1"/>
  <c r="O124" i="1"/>
  <c r="L135" i="1"/>
  <c r="O135" i="1" s="1"/>
  <c r="P137" i="1"/>
  <c r="K130" i="1"/>
  <c r="L155" i="1"/>
  <c r="O155" i="1" s="1"/>
  <c r="O173" i="1"/>
  <c r="J194" i="1"/>
  <c r="N198" i="1"/>
  <c r="K207" i="1"/>
  <c r="K214" i="1"/>
  <c r="I233" i="1"/>
  <c r="K233" i="1" s="1"/>
  <c r="N263" i="1"/>
  <c r="N261" i="1" s="1"/>
  <c r="L283" i="1"/>
  <c r="O283" i="1" s="1"/>
  <c r="M304" i="1"/>
  <c r="P304" i="1" s="1"/>
  <c r="K325" i="1"/>
  <c r="K340" i="1"/>
  <c r="L347" i="1"/>
  <c r="K374" i="1"/>
  <c r="M392" i="1"/>
  <c r="P392" i="1" s="1"/>
  <c r="N391" i="1"/>
  <c r="N389" i="1" s="1"/>
  <c r="N472" i="1"/>
  <c r="N469" i="1" s="1"/>
  <c r="N467" i="1" s="1"/>
  <c r="J465" i="1"/>
  <c r="K465" i="1" s="1"/>
  <c r="K651" i="1"/>
  <c r="K670" i="1"/>
  <c r="L687" i="1"/>
  <c r="L685" i="1" s="1"/>
  <c r="K728" i="1"/>
  <c r="K803" i="1"/>
  <c r="P138" i="1"/>
  <c r="P135" i="1"/>
  <c r="O140" i="1"/>
  <c r="N238" i="1"/>
  <c r="J604" i="1"/>
  <c r="J621" i="1"/>
  <c r="K621" i="1" s="1"/>
  <c r="N791" i="1"/>
  <c r="P56" i="1"/>
  <c r="L68" i="1"/>
  <c r="L66" i="1" s="1"/>
  <c r="I76" i="1"/>
  <c r="I64" i="1" s="1"/>
  <c r="K114" i="1"/>
  <c r="L138" i="1"/>
  <c r="O138" i="1" s="1"/>
  <c r="P140" i="1"/>
  <c r="N151" i="1"/>
  <c r="N149" i="1" s="1"/>
  <c r="O154" i="1"/>
  <c r="K159" i="1"/>
  <c r="N167" i="1"/>
  <c r="M167" i="1"/>
  <c r="M165" i="1" s="1"/>
  <c r="K164" i="1"/>
  <c r="N183" i="1"/>
  <c r="I197" i="1"/>
  <c r="K197" i="1" s="1"/>
  <c r="N209" i="1"/>
  <c r="N217" i="1"/>
  <c r="K223" i="1"/>
  <c r="L231" i="1"/>
  <c r="J235" i="1"/>
  <c r="N249" i="1"/>
  <c r="K257" i="1"/>
  <c r="P264" i="1"/>
  <c r="P266" i="1"/>
  <c r="O282" i="1"/>
  <c r="K287" i="1"/>
  <c r="N300" i="1"/>
  <c r="N298" i="1" s="1"/>
  <c r="O303" i="1"/>
  <c r="M348" i="1"/>
  <c r="P348" i="1" s="1"/>
  <c r="N347" i="1"/>
  <c r="N345" i="1" s="1"/>
  <c r="P353" i="1"/>
  <c r="K372" i="1"/>
  <c r="L421" i="1"/>
  <c r="L419" i="1" s="1"/>
  <c r="O431" i="1"/>
  <c r="K437" i="1"/>
  <c r="K440" i="1"/>
  <c r="J466" i="1"/>
  <c r="K466" i="1" s="1"/>
  <c r="K671" i="1"/>
  <c r="K699" i="1"/>
  <c r="P19" i="1"/>
  <c r="P12" i="1"/>
  <c r="L12" i="1"/>
  <c r="N26" i="1"/>
  <c r="L56" i="1"/>
  <c r="O56" i="1" s="1"/>
  <c r="P67" i="1"/>
  <c r="N69" i="1"/>
  <c r="O71" i="1"/>
  <c r="P71" i="1"/>
  <c r="I77" i="1"/>
  <c r="P89" i="1"/>
  <c r="N91" i="1"/>
  <c r="P91" i="1" s="1"/>
  <c r="O93" i="1"/>
  <c r="P93" i="1"/>
  <c r="I87" i="1"/>
  <c r="K87" i="1" s="1"/>
  <c r="K99" i="1"/>
  <c r="I112" i="1"/>
  <c r="I443" i="1"/>
  <c r="K443" i="1" s="1"/>
  <c r="K462" i="1"/>
  <c r="N125" i="1"/>
  <c r="P125" i="1" s="1"/>
  <c r="O127" i="1"/>
  <c r="P127" i="1"/>
  <c r="M171" i="1"/>
  <c r="P171" i="1" s="1"/>
  <c r="P173" i="1"/>
  <c r="L59" i="1"/>
  <c r="O59" i="1" s="1"/>
  <c r="P120" i="1"/>
  <c r="L238" i="1"/>
  <c r="L228" i="1"/>
  <c r="P346" i="1"/>
  <c r="P656" i="1"/>
  <c r="M655" i="1"/>
  <c r="P655" i="1" s="1"/>
  <c r="I208" i="1"/>
  <c r="K208" i="1" s="1"/>
  <c r="K215" i="1"/>
  <c r="O25" i="1"/>
  <c r="L15" i="1"/>
  <c r="P33" i="1"/>
  <c r="M30" i="1"/>
  <c r="P30" i="1" s="1"/>
  <c r="N44" i="1"/>
  <c r="P44" i="1" s="1"/>
  <c r="N23" i="1"/>
  <c r="P59" i="1"/>
  <c r="K174" i="1"/>
  <c r="P182" i="1"/>
  <c r="I190" i="1"/>
  <c r="K190" i="1" s="1"/>
  <c r="K193" i="1"/>
  <c r="K309" i="1"/>
  <c r="I297" i="1"/>
  <c r="K297" i="1" s="1"/>
  <c r="L351" i="1"/>
  <c r="O351" i="1" s="1"/>
  <c r="O353" i="1"/>
  <c r="N43" i="1"/>
  <c r="P25" i="1"/>
  <c r="M15" i="1"/>
  <c r="M9" i="1" s="1"/>
  <c r="O32" i="1"/>
  <c r="L29" i="1"/>
  <c r="L26" i="1"/>
  <c r="L55" i="1"/>
  <c r="K86" i="1"/>
  <c r="M168" i="1"/>
  <c r="P170" i="1"/>
  <c r="M23" i="1"/>
  <c r="M21" i="1" s="1"/>
  <c r="N330" i="1"/>
  <c r="N328" i="1" s="1"/>
  <c r="M29" i="1"/>
  <c r="M31" i="1"/>
  <c r="P31" i="1" s="1"/>
  <c r="O166" i="1"/>
  <c r="O407" i="1"/>
  <c r="L404" i="1"/>
  <c r="L405" i="1"/>
  <c r="O405" i="1" s="1"/>
  <c r="M419" i="1"/>
  <c r="P421" i="1"/>
  <c r="L447" i="1"/>
  <c r="L446" i="1"/>
  <c r="O468" i="1"/>
  <c r="L502" i="1"/>
  <c r="O502" i="1" s="1"/>
  <c r="O504" i="1"/>
  <c r="O545" i="1"/>
  <c r="M629" i="1"/>
  <c r="P629" i="1" s="1"/>
  <c r="P630" i="1"/>
  <c r="P787" i="1"/>
  <c r="M786" i="1"/>
  <c r="P786" i="1" s="1"/>
  <c r="L23" i="1"/>
  <c r="N230" i="1"/>
  <c r="I235" i="1"/>
  <c r="L249" i="1"/>
  <c r="L331" i="1"/>
  <c r="O331" i="1" s="1"/>
  <c r="O333" i="1"/>
  <c r="P403" i="1"/>
  <c r="O420" i="1"/>
  <c r="L547" i="1"/>
  <c r="L546" i="1"/>
  <c r="O557" i="1"/>
  <c r="L555" i="1"/>
  <c r="O555" i="1" s="1"/>
  <c r="L134" i="1"/>
  <c r="L44" i="1"/>
  <c r="L47" i="1"/>
  <c r="O47" i="1" s="1"/>
  <c r="K176" i="1"/>
  <c r="L183" i="1"/>
  <c r="N184" i="1"/>
  <c r="O184" i="1" s="1"/>
  <c r="L264" i="1"/>
  <c r="O264" i="1" s="1"/>
  <c r="L280" i="1"/>
  <c r="O280" i="1" s="1"/>
  <c r="L300" i="1"/>
  <c r="L304" i="1"/>
  <c r="O304" i="1" s="1"/>
  <c r="P331" i="1"/>
  <c r="P333" i="1"/>
  <c r="L408" i="1"/>
  <c r="O408" i="1" s="1"/>
  <c r="N424" i="1"/>
  <c r="O424" i="1" s="1"/>
  <c r="K433" i="1"/>
  <c r="I417" i="1"/>
  <c r="K417" i="1" s="1"/>
  <c r="L477" i="1"/>
  <c r="O477" i="1" s="1"/>
  <c r="L469" i="1"/>
  <c r="L467" i="1" s="1"/>
  <c r="O479" i="1"/>
  <c r="I543" i="1"/>
  <c r="I628" i="1"/>
  <c r="K628" i="1" s="1"/>
  <c r="J76" i="1"/>
  <c r="J64" i="1" s="1"/>
  <c r="O189" i="1"/>
  <c r="P329" i="1"/>
  <c r="L334" i="1"/>
  <c r="O334" i="1" s="1"/>
  <c r="O336" i="1"/>
  <c r="L348" i="1"/>
  <c r="O348" i="1" s="1"/>
  <c r="O350" i="1"/>
  <c r="K365" i="1"/>
  <c r="I364" i="1"/>
  <c r="M545" i="1"/>
  <c r="P555" i="1"/>
  <c r="J582" i="1"/>
  <c r="J576" i="1" s="1"/>
  <c r="O186" i="1"/>
  <c r="K246" i="1"/>
  <c r="L263" i="1"/>
  <c r="L279" i="1"/>
  <c r="K293" i="1"/>
  <c r="P350" i="1"/>
  <c r="K360" i="1"/>
  <c r="L392" i="1"/>
  <c r="O392" i="1" s="1"/>
  <c r="O394" i="1"/>
  <c r="N404" i="1"/>
  <c r="N402" i="1" s="1"/>
  <c r="I434" i="1"/>
  <c r="L658" i="1"/>
  <c r="L657" i="1"/>
  <c r="P806" i="1"/>
  <c r="M805" i="1"/>
  <c r="P805" i="1" s="1"/>
  <c r="L422" i="1"/>
  <c r="N504" i="1"/>
  <c r="N505" i="1"/>
  <c r="K435" i="1"/>
  <c r="K439" i="1"/>
  <c r="K460" i="1"/>
  <c r="I442" i="1"/>
  <c r="K442" i="1" s="1"/>
  <c r="K726" i="1"/>
  <c r="K825" i="1"/>
  <c r="K483" i="1"/>
  <c r="N502" i="1"/>
  <c r="M523" i="1"/>
  <c r="P523" i="1" s="1"/>
  <c r="J568" i="1"/>
  <c r="K568" i="1" s="1"/>
  <c r="N634" i="1"/>
  <c r="K647" i="1"/>
  <c r="N660" i="1"/>
  <c r="N690" i="1"/>
  <c r="L470" i="1"/>
  <c r="K673" i="1"/>
  <c r="O24" i="15" l="1"/>
  <c r="O16" i="15"/>
  <c r="L28" i="13"/>
  <c r="O28" i="13" s="1"/>
  <c r="O21" i="17"/>
  <c r="P20" i="17"/>
  <c r="L28" i="15"/>
  <c r="O28" i="15" s="1"/>
  <c r="O41" i="16"/>
  <c r="O24" i="18"/>
  <c r="P21" i="17"/>
  <c r="P24" i="18"/>
  <c r="L28" i="18"/>
  <c r="O28" i="18" s="1"/>
  <c r="O13" i="18"/>
  <c r="L28" i="14"/>
  <c r="O28" i="14" s="1"/>
  <c r="O21" i="12"/>
  <c r="P88" i="18"/>
  <c r="P328" i="17"/>
  <c r="P24" i="17"/>
  <c r="M18" i="17"/>
  <c r="P18" i="17" s="1"/>
  <c r="O345" i="14"/>
  <c r="O41" i="18"/>
  <c r="L37" i="18"/>
  <c r="N10" i="18"/>
  <c r="N8" i="18" s="1"/>
  <c r="P13" i="18"/>
  <c r="N11" i="18"/>
  <c r="P11" i="18" s="1"/>
  <c r="O419" i="18"/>
  <c r="L414" i="18"/>
  <c r="O414" i="18" s="1"/>
  <c r="O18" i="18"/>
  <c r="K226" i="18"/>
  <c r="I180" i="18"/>
  <c r="K180" i="18" s="1"/>
  <c r="P9" i="18"/>
  <c r="P16" i="18"/>
  <c r="M14" i="18"/>
  <c r="P14" i="18" s="1"/>
  <c r="M10" i="18"/>
  <c r="M8" i="18" s="1"/>
  <c r="L14" i="18"/>
  <c r="O14" i="18" s="1"/>
  <c r="L10" i="18"/>
  <c r="L8" i="18" s="1"/>
  <c r="O9" i="18"/>
  <c r="P21" i="18"/>
  <c r="P345" i="18"/>
  <c r="O345" i="18"/>
  <c r="P149" i="18"/>
  <c r="P53" i="18"/>
  <c r="M37" i="18"/>
  <c r="P18" i="18"/>
  <c r="O345" i="16"/>
  <c r="P20" i="18"/>
  <c r="O18" i="16"/>
  <c r="O20" i="16"/>
  <c r="O20" i="18"/>
  <c r="M414" i="18"/>
  <c r="P414" i="18" s="1"/>
  <c r="N37" i="18"/>
  <c r="O16" i="13"/>
  <c r="I180" i="15"/>
  <c r="K180" i="15" s="1"/>
  <c r="N8" i="17"/>
  <c r="P53" i="17"/>
  <c r="L28" i="17"/>
  <c r="O28" i="17" s="1"/>
  <c r="L28" i="9"/>
  <c r="O28" i="9" s="1"/>
  <c r="O11" i="16"/>
  <c r="O20" i="17"/>
  <c r="L18" i="17"/>
  <c r="O18" i="17" s="1"/>
  <c r="L37" i="17"/>
  <c r="O41" i="17"/>
  <c r="P41" i="17"/>
  <c r="M37" i="17"/>
  <c r="N37" i="17"/>
  <c r="O53" i="17"/>
  <c r="M14" i="17"/>
  <c r="P14" i="17" s="1"/>
  <c r="P16" i="17"/>
  <c r="M10" i="17"/>
  <c r="P10" i="17" s="1"/>
  <c r="L414" i="17"/>
  <c r="O414" i="17" s="1"/>
  <c r="O16" i="17"/>
  <c r="L14" i="17"/>
  <c r="O14" i="17" s="1"/>
  <c r="P9" i="17"/>
  <c r="K226" i="17"/>
  <c r="I180" i="17"/>
  <c r="K180" i="17" s="1"/>
  <c r="L10" i="17"/>
  <c r="O13" i="17"/>
  <c r="L11" i="17"/>
  <c r="O11" i="17" s="1"/>
  <c r="P11" i="17"/>
  <c r="O24" i="16"/>
  <c r="O345" i="13"/>
  <c r="L37" i="16"/>
  <c r="P21" i="14"/>
  <c r="M10" i="16"/>
  <c r="P13" i="16"/>
  <c r="M11" i="16"/>
  <c r="P11" i="16" s="1"/>
  <c r="L414" i="16"/>
  <c r="O414" i="16" s="1"/>
  <c r="O298" i="16"/>
  <c r="O277" i="16"/>
  <c r="N37" i="16"/>
  <c r="P88" i="16"/>
  <c r="M37" i="16"/>
  <c r="P20" i="16"/>
  <c r="M18" i="16"/>
  <c r="P18" i="16" s="1"/>
  <c r="O9" i="16"/>
  <c r="K226" i="16"/>
  <c r="I180" i="16"/>
  <c r="K180" i="16" s="1"/>
  <c r="O16" i="16"/>
  <c r="L14" i="16"/>
  <c r="O14" i="16" s="1"/>
  <c r="P16" i="16"/>
  <c r="M14" i="16"/>
  <c r="P14" i="16" s="1"/>
  <c r="N10" i="16"/>
  <c r="N8" i="16" s="1"/>
  <c r="O30" i="16"/>
  <c r="L28" i="16"/>
  <c r="O28" i="16" s="1"/>
  <c r="O13" i="16"/>
  <c r="L10" i="16"/>
  <c r="O24" i="12"/>
  <c r="O261" i="15"/>
  <c r="L14" i="15"/>
  <c r="O14" i="15" s="1"/>
  <c r="P14" i="15"/>
  <c r="P53" i="12"/>
  <c r="O88" i="11"/>
  <c r="O20" i="15"/>
  <c r="L18" i="15"/>
  <c r="O18" i="15" s="1"/>
  <c r="P16" i="15"/>
  <c r="P277" i="14"/>
  <c r="O88" i="15"/>
  <c r="L37" i="15"/>
  <c r="O9" i="15"/>
  <c r="P21" i="15"/>
  <c r="P41" i="15"/>
  <c r="M37" i="15"/>
  <c r="O53" i="15"/>
  <c r="N37" i="15"/>
  <c r="P53" i="15"/>
  <c r="N10" i="15"/>
  <c r="N8" i="15" s="1"/>
  <c r="N11" i="15"/>
  <c r="P13" i="15"/>
  <c r="M10" i="15"/>
  <c r="M11" i="15"/>
  <c r="O21" i="15"/>
  <c r="O419" i="15"/>
  <c r="L414" i="15"/>
  <c r="O414" i="15" s="1"/>
  <c r="P20" i="15"/>
  <c r="M18" i="15"/>
  <c r="P18" i="15" s="1"/>
  <c r="P9" i="15"/>
  <c r="O13" i="15"/>
  <c r="L10" i="15"/>
  <c r="O10" i="15" s="1"/>
  <c r="L11" i="15"/>
  <c r="O165" i="14"/>
  <c r="O261" i="12"/>
  <c r="N37" i="14"/>
  <c r="P181" i="14"/>
  <c r="L28" i="12"/>
  <c r="O28" i="12" s="1"/>
  <c r="O16" i="14"/>
  <c r="P345" i="10"/>
  <c r="O13" i="14"/>
  <c r="L10" i="14"/>
  <c r="L11" i="14"/>
  <c r="O11" i="14" s="1"/>
  <c r="O20" i="14"/>
  <c r="P24" i="14"/>
  <c r="M10" i="14"/>
  <c r="P13" i="14"/>
  <c r="M11" i="14"/>
  <c r="P11" i="14" s="1"/>
  <c r="O467" i="14"/>
  <c r="L414" i="14"/>
  <c r="O414" i="14" s="1"/>
  <c r="O53" i="14"/>
  <c r="N14" i="14"/>
  <c r="K226" i="14"/>
  <c r="I180" i="14"/>
  <c r="K180" i="14" s="1"/>
  <c r="N8" i="14"/>
  <c r="M37" i="14"/>
  <c r="P41" i="14"/>
  <c r="P181" i="13"/>
  <c r="O18" i="14"/>
  <c r="O41" i="14"/>
  <c r="L37" i="14"/>
  <c r="P20" i="14"/>
  <c r="M18" i="14"/>
  <c r="P18" i="14" s="1"/>
  <c r="P16" i="14"/>
  <c r="P20" i="12"/>
  <c r="N10" i="13"/>
  <c r="N8" i="13" s="1"/>
  <c r="O11" i="13"/>
  <c r="O30" i="8"/>
  <c r="L10" i="12"/>
  <c r="L8" i="12" s="1"/>
  <c r="L14" i="13"/>
  <c r="O14" i="13" s="1"/>
  <c r="O13" i="13"/>
  <c r="L28" i="10"/>
  <c r="O28" i="10" s="1"/>
  <c r="O20" i="11"/>
  <c r="P24" i="12"/>
  <c r="L10" i="13"/>
  <c r="L8" i="13" s="1"/>
  <c r="L37" i="12"/>
  <c r="K226" i="13"/>
  <c r="I180" i="13"/>
  <c r="K180" i="13" s="1"/>
  <c r="P16" i="13"/>
  <c r="M14" i="13"/>
  <c r="P14" i="13" s="1"/>
  <c r="P24" i="5"/>
  <c r="P13" i="13"/>
  <c r="M10" i="13"/>
  <c r="M11" i="13"/>
  <c r="P11" i="13" s="1"/>
  <c r="O88" i="13"/>
  <c r="P41" i="13"/>
  <c r="M37" i="13"/>
  <c r="O20" i="13"/>
  <c r="L18" i="13"/>
  <c r="O18" i="13" s="1"/>
  <c r="O9" i="13"/>
  <c r="N37" i="13"/>
  <c r="P20" i="13"/>
  <c r="M18" i="13"/>
  <c r="P18" i="13" s="1"/>
  <c r="L414" i="13"/>
  <c r="O414" i="13" s="1"/>
  <c r="O419" i="13"/>
  <c r="O41" i="13"/>
  <c r="L37" i="13"/>
  <c r="L14" i="12"/>
  <c r="O14" i="12" s="1"/>
  <c r="I180" i="12"/>
  <c r="K180" i="12" s="1"/>
  <c r="O88" i="10"/>
  <c r="M18" i="12"/>
  <c r="P18" i="12" s="1"/>
  <c r="O328" i="10"/>
  <c r="P11" i="11"/>
  <c r="P16" i="12"/>
  <c r="M14" i="12"/>
  <c r="P14" i="12" s="1"/>
  <c r="O14" i="11"/>
  <c r="O277" i="11"/>
  <c r="O18" i="12"/>
  <c r="N10" i="12"/>
  <c r="N8" i="12" s="1"/>
  <c r="N11" i="12"/>
  <c r="O11" i="12" s="1"/>
  <c r="L37" i="11"/>
  <c r="O419" i="12"/>
  <c r="L414" i="12"/>
  <c r="O414" i="12" s="1"/>
  <c r="P9" i="12"/>
  <c r="O9" i="12"/>
  <c r="M10" i="12"/>
  <c r="P13" i="12"/>
  <c r="M11" i="12"/>
  <c r="M37" i="12"/>
  <c r="O13" i="12"/>
  <c r="P132" i="12"/>
  <c r="P21" i="12"/>
  <c r="O20" i="12"/>
  <c r="N37" i="12"/>
  <c r="M37" i="11"/>
  <c r="L10" i="11"/>
  <c r="L8" i="11" s="1"/>
  <c r="O16" i="11"/>
  <c r="N10" i="11"/>
  <c r="O13" i="11"/>
  <c r="O24" i="11"/>
  <c r="O30" i="11"/>
  <c r="L28" i="11"/>
  <c r="O28" i="11" s="1"/>
  <c r="M14" i="8"/>
  <c r="P14" i="8" s="1"/>
  <c r="P16" i="11"/>
  <c r="P149" i="8"/>
  <c r="L14" i="9"/>
  <c r="O14" i="9" s="1"/>
  <c r="P21" i="11"/>
  <c r="P165" i="11"/>
  <c r="M14" i="11"/>
  <c r="P14" i="11" s="1"/>
  <c r="O9" i="11"/>
  <c r="P24" i="11"/>
  <c r="O11" i="11"/>
  <c r="K226" i="11"/>
  <c r="I180" i="11"/>
  <c r="K180" i="11" s="1"/>
  <c r="N37" i="11"/>
  <c r="O53" i="11"/>
  <c r="P9" i="11"/>
  <c r="K226" i="3"/>
  <c r="N414" i="11"/>
  <c r="O419" i="11"/>
  <c r="P20" i="11"/>
  <c r="M18" i="11"/>
  <c r="M10" i="11"/>
  <c r="M8" i="11" s="1"/>
  <c r="N18" i="11"/>
  <c r="O18" i="11" s="1"/>
  <c r="L414" i="11"/>
  <c r="O414" i="11" s="1"/>
  <c r="P13" i="11"/>
  <c r="P24" i="6"/>
  <c r="P13" i="7"/>
  <c r="P21" i="8"/>
  <c r="O20" i="10"/>
  <c r="O14" i="10"/>
  <c r="M37" i="10"/>
  <c r="L10" i="10"/>
  <c r="L8" i="10" s="1"/>
  <c r="L37" i="10"/>
  <c r="O9" i="10"/>
  <c r="P13" i="10"/>
  <c r="M10" i="10"/>
  <c r="M11" i="10"/>
  <c r="P24" i="10"/>
  <c r="K226" i="10"/>
  <c r="I180" i="10"/>
  <c r="K180" i="10" s="1"/>
  <c r="P20" i="10"/>
  <c r="M18" i="10"/>
  <c r="P16" i="10"/>
  <c r="M14" i="10"/>
  <c r="P14" i="10" s="1"/>
  <c r="O181" i="10"/>
  <c r="N37" i="10"/>
  <c r="O16" i="10"/>
  <c r="N10" i="10"/>
  <c r="N8" i="10" s="1"/>
  <c r="O13" i="10"/>
  <c r="N11" i="10"/>
  <c r="O11" i="10" s="1"/>
  <c r="P181" i="10"/>
  <c r="N18" i="10"/>
  <c r="O18" i="10" s="1"/>
  <c r="L414" i="10"/>
  <c r="O414" i="10" s="1"/>
  <c r="P24" i="9"/>
  <c r="P20" i="8"/>
  <c r="O24" i="6"/>
  <c r="P345" i="9"/>
  <c r="O88" i="7"/>
  <c r="P88" i="8"/>
  <c r="O20" i="7"/>
  <c r="P16" i="9"/>
  <c r="M14" i="9"/>
  <c r="P14" i="9" s="1"/>
  <c r="P20" i="9"/>
  <c r="L37" i="9"/>
  <c r="I180" i="9"/>
  <c r="K180" i="9" s="1"/>
  <c r="K226" i="9"/>
  <c r="O20" i="9"/>
  <c r="L18" i="9"/>
  <c r="O18" i="9" s="1"/>
  <c r="N8" i="9"/>
  <c r="N11" i="9"/>
  <c r="P11" i="9" s="1"/>
  <c r="M37" i="9"/>
  <c r="O655" i="9"/>
  <c r="O13" i="9"/>
  <c r="L10" i="9"/>
  <c r="L11" i="9"/>
  <c r="P9" i="9"/>
  <c r="P18" i="9"/>
  <c r="L28" i="6"/>
  <c r="O28" i="6" s="1"/>
  <c r="O467" i="9"/>
  <c r="L414" i="9"/>
  <c r="O414" i="9" s="1"/>
  <c r="P277" i="9"/>
  <c r="P13" i="9"/>
  <c r="M10" i="9"/>
  <c r="P10" i="9" s="1"/>
  <c r="N37" i="9"/>
  <c r="P16" i="8"/>
  <c r="O24" i="5"/>
  <c r="O66" i="8"/>
  <c r="O21" i="8"/>
  <c r="O14" i="8"/>
  <c r="L414" i="8"/>
  <c r="O13" i="8"/>
  <c r="L10" i="8"/>
  <c r="L8" i="8" s="1"/>
  <c r="O20" i="8"/>
  <c r="L18" i="8"/>
  <c r="O18" i="8" s="1"/>
  <c r="O119" i="8"/>
  <c r="L37" i="8"/>
  <c r="P21" i="5"/>
  <c r="O9" i="8"/>
  <c r="P18" i="8"/>
  <c r="P53" i="8"/>
  <c r="M37" i="8"/>
  <c r="P41" i="8"/>
  <c r="O544" i="8"/>
  <c r="N414" i="8"/>
  <c r="O277" i="8"/>
  <c r="P277" i="8"/>
  <c r="O11" i="8"/>
  <c r="M8" i="8"/>
  <c r="N10" i="8"/>
  <c r="N8" i="8" s="1"/>
  <c r="P13" i="8"/>
  <c r="O16" i="8"/>
  <c r="O53" i="8"/>
  <c r="N37" i="8"/>
  <c r="P20" i="7"/>
  <c r="L37" i="7"/>
  <c r="L18" i="7"/>
  <c r="O18" i="7" s="1"/>
  <c r="O167" i="2"/>
  <c r="O149" i="6"/>
  <c r="P9" i="7"/>
  <c r="O13" i="7"/>
  <c r="L10" i="7"/>
  <c r="L8" i="7" s="1"/>
  <c r="O30" i="7"/>
  <c r="L28" i="7"/>
  <c r="O28" i="7" s="1"/>
  <c r="P16" i="7"/>
  <c r="M14" i="7"/>
  <c r="P14" i="7" s="1"/>
  <c r="O16" i="7"/>
  <c r="L14" i="7"/>
  <c r="O14" i="7" s="1"/>
  <c r="M18" i="7"/>
  <c r="P18" i="7" s="1"/>
  <c r="P24" i="7"/>
  <c r="O24" i="7"/>
  <c r="O181" i="7"/>
  <c r="N10" i="7"/>
  <c r="N8" i="7" s="1"/>
  <c r="N11" i="7"/>
  <c r="P11" i="7" s="1"/>
  <c r="N37" i="7"/>
  <c r="O53" i="7"/>
  <c r="P53" i="7"/>
  <c r="P66" i="7"/>
  <c r="M37" i="7"/>
  <c r="O9" i="7"/>
  <c r="O277" i="5"/>
  <c r="K226" i="7"/>
  <c r="I180" i="7"/>
  <c r="K180" i="7" s="1"/>
  <c r="M10" i="7"/>
  <c r="L414" i="7"/>
  <c r="O414" i="7" s="1"/>
  <c r="L11" i="7"/>
  <c r="O134" i="1"/>
  <c r="O21" i="5"/>
  <c r="O347" i="2"/>
  <c r="M14" i="6"/>
  <c r="P14" i="6" s="1"/>
  <c r="O28" i="3"/>
  <c r="O30" i="3"/>
  <c r="O217" i="1"/>
  <c r="P66" i="6"/>
  <c r="O66" i="6"/>
  <c r="O391" i="2"/>
  <c r="L37" i="6"/>
  <c r="P41" i="6"/>
  <c r="M37" i="6"/>
  <c r="N37" i="6"/>
  <c r="O41" i="6"/>
  <c r="O20" i="6"/>
  <c r="L18" i="6"/>
  <c r="O18" i="6" s="1"/>
  <c r="N414" i="6"/>
  <c r="O261" i="6"/>
  <c r="N180" i="5"/>
  <c r="P181" i="5"/>
  <c r="P180" i="5" s="1"/>
  <c r="P9" i="6"/>
  <c r="L14" i="6"/>
  <c r="O14" i="6" s="1"/>
  <c r="L11" i="6"/>
  <c r="L10" i="6"/>
  <c r="O13" i="6"/>
  <c r="P13" i="6"/>
  <c r="M10" i="6"/>
  <c r="P20" i="6"/>
  <c r="M18" i="6"/>
  <c r="P18" i="6" s="1"/>
  <c r="K226" i="6"/>
  <c r="I180" i="6"/>
  <c r="K180" i="6" s="1"/>
  <c r="N10" i="6"/>
  <c r="N8" i="6" s="1"/>
  <c r="N11" i="6"/>
  <c r="P11" i="6" s="1"/>
  <c r="L414" i="6"/>
  <c r="O414" i="6" s="1"/>
  <c r="L37" i="5"/>
  <c r="O24" i="3"/>
  <c r="P20" i="4"/>
  <c r="P347" i="2"/>
  <c r="O20" i="4"/>
  <c r="O298" i="5"/>
  <c r="M37" i="5"/>
  <c r="P279" i="2"/>
  <c r="M119" i="2"/>
  <c r="P119" i="2" s="1"/>
  <c r="M14" i="5"/>
  <c r="P14" i="5" s="1"/>
  <c r="O181" i="5"/>
  <c r="O180" i="5" s="1"/>
  <c r="L180" i="5"/>
  <c r="K236" i="1"/>
  <c r="O298" i="4"/>
  <c r="O419" i="5"/>
  <c r="L414" i="5"/>
  <c r="O414" i="5" s="1"/>
  <c r="N10" i="5"/>
  <c r="N8" i="5" s="1"/>
  <c r="N11" i="5"/>
  <c r="O165" i="5"/>
  <c r="O13" i="5"/>
  <c r="L11" i="5"/>
  <c r="L10" i="5"/>
  <c r="N37" i="5"/>
  <c r="O132" i="5"/>
  <c r="P13" i="5"/>
  <c r="M10" i="5"/>
  <c r="M11" i="5"/>
  <c r="O20" i="5"/>
  <c r="L18" i="5"/>
  <c r="O18" i="5" s="1"/>
  <c r="P20" i="5"/>
  <c r="M18" i="5"/>
  <c r="P18" i="5" s="1"/>
  <c r="L14" i="5"/>
  <c r="O14" i="5" s="1"/>
  <c r="L28" i="5"/>
  <c r="O28" i="5" s="1"/>
  <c r="I226" i="2"/>
  <c r="K226" i="2" s="1"/>
  <c r="O183" i="2"/>
  <c r="P132" i="5"/>
  <c r="N37" i="4"/>
  <c r="P261" i="4"/>
  <c r="M10" i="4"/>
  <c r="M8" i="4" s="1"/>
  <c r="I180" i="4"/>
  <c r="K180" i="4" s="1"/>
  <c r="K226" i="4"/>
  <c r="M18" i="4"/>
  <c r="P18" i="4" s="1"/>
  <c r="L37" i="4"/>
  <c r="N31" i="4"/>
  <c r="O31" i="4" s="1"/>
  <c r="N30" i="4"/>
  <c r="N28" i="4" s="1"/>
  <c r="N13" i="4"/>
  <c r="P13" i="4" s="1"/>
  <c r="P9" i="4"/>
  <c r="L10" i="4"/>
  <c r="L8" i="4" s="1"/>
  <c r="L18" i="4"/>
  <c r="O18" i="4" s="1"/>
  <c r="P149" i="4"/>
  <c r="L419" i="2"/>
  <c r="O419" i="2" s="1"/>
  <c r="K364" i="2"/>
  <c r="O9" i="4"/>
  <c r="P88" i="4"/>
  <c r="M37" i="4"/>
  <c r="O16" i="4"/>
  <c r="L14" i="4"/>
  <c r="O14" i="4" s="1"/>
  <c r="N8" i="3"/>
  <c r="L28" i="4"/>
  <c r="O28" i="4" s="1"/>
  <c r="O419" i="4"/>
  <c r="L414" i="4"/>
  <c r="O414" i="4" s="1"/>
  <c r="P16" i="4"/>
  <c r="M14" i="4"/>
  <c r="P14" i="4" s="1"/>
  <c r="P55" i="2"/>
  <c r="L14" i="3"/>
  <c r="O14" i="3" s="1"/>
  <c r="O330" i="2"/>
  <c r="O301" i="2"/>
  <c r="O18" i="3"/>
  <c r="O43" i="2"/>
  <c r="O168" i="2"/>
  <c r="O277" i="2"/>
  <c r="P298" i="2"/>
  <c r="O279" i="2"/>
  <c r="N11" i="3"/>
  <c r="M389" i="2"/>
  <c r="P389" i="2" s="1"/>
  <c r="L328" i="2"/>
  <c r="O328" i="2" s="1"/>
  <c r="O317" i="2"/>
  <c r="M21" i="2"/>
  <c r="O53" i="2"/>
  <c r="M37" i="3"/>
  <c r="P37" i="3" s="1"/>
  <c r="P347" i="1"/>
  <c r="O629" i="2"/>
  <c r="I64" i="2"/>
  <c r="K64" i="2" s="1"/>
  <c r="P167" i="2"/>
  <c r="M14" i="3"/>
  <c r="P14" i="3" s="1"/>
  <c r="L37" i="3"/>
  <c r="O37" i="3" s="1"/>
  <c r="O41" i="3"/>
  <c r="O66" i="1"/>
  <c r="L402" i="2"/>
  <c r="O402" i="2" s="1"/>
  <c r="P90" i="2"/>
  <c r="P13" i="3"/>
  <c r="M10" i="3"/>
  <c r="P10" i="3" s="1"/>
  <c r="M11" i="3"/>
  <c r="P20" i="3"/>
  <c r="M18" i="3"/>
  <c r="P18" i="3" s="1"/>
  <c r="K112" i="1"/>
  <c r="P280" i="2"/>
  <c r="P263" i="2"/>
  <c r="O9" i="3"/>
  <c r="O13" i="3"/>
  <c r="L10" i="3"/>
  <c r="O10" i="3" s="1"/>
  <c r="L11" i="3"/>
  <c r="P21" i="3"/>
  <c r="O55" i="2"/>
  <c r="P9" i="3"/>
  <c r="O20" i="3"/>
  <c r="L414" i="3"/>
  <c r="O414" i="3" s="1"/>
  <c r="K785" i="2"/>
  <c r="O280" i="2"/>
  <c r="K417" i="2"/>
  <c r="O298" i="2"/>
  <c r="L655" i="2"/>
  <c r="O655" i="2" s="1"/>
  <c r="K785" i="1"/>
  <c r="L523" i="2"/>
  <c r="O523" i="2" s="1"/>
  <c r="M132" i="2"/>
  <c r="P132" i="2" s="1"/>
  <c r="P315" i="2"/>
  <c r="K143" i="2"/>
  <c r="L227" i="2"/>
  <c r="O33" i="2"/>
  <c r="P345" i="2"/>
  <c r="K248" i="1"/>
  <c r="P328" i="2"/>
  <c r="L444" i="2"/>
  <c r="O444" i="2" s="1"/>
  <c r="O31" i="2"/>
  <c r="P300" i="2"/>
  <c r="P318" i="2"/>
  <c r="K433" i="2"/>
  <c r="L30" i="2"/>
  <c r="O30" i="2" s="1"/>
  <c r="P43" i="2"/>
  <c r="O345" i="2"/>
  <c r="P330" i="2"/>
  <c r="O36" i="2"/>
  <c r="O184" i="2"/>
  <c r="O315" i="2"/>
  <c r="P264" i="2"/>
  <c r="O528" i="1"/>
  <c r="O121" i="1"/>
  <c r="L181" i="2"/>
  <c r="O181" i="2" s="1"/>
  <c r="L34" i="2"/>
  <c r="O34" i="2" s="1"/>
  <c r="P404" i="2"/>
  <c r="M402" i="2"/>
  <c r="P402" i="2" s="1"/>
  <c r="L66" i="2"/>
  <c r="O66" i="2" s="1"/>
  <c r="P68" i="2"/>
  <c r="M66" i="2"/>
  <c r="P66" i="2" s="1"/>
  <c r="K364" i="1"/>
  <c r="M389" i="1"/>
  <c r="P389" i="1" s="1"/>
  <c r="O167" i="1"/>
  <c r="O632" i="2"/>
  <c r="P149" i="1"/>
  <c r="M277" i="2"/>
  <c r="P277" i="2" s="1"/>
  <c r="P165" i="2"/>
  <c r="L544" i="2"/>
  <c r="O544" i="2" s="1"/>
  <c r="O546" i="2"/>
  <c r="P88" i="2"/>
  <c r="O121" i="2"/>
  <c r="L119" i="2"/>
  <c r="O119" i="2" s="1"/>
  <c r="O300" i="2"/>
  <c r="N13" i="2"/>
  <c r="P13" i="2" s="1"/>
  <c r="N20" i="2"/>
  <c r="N18" i="2" s="1"/>
  <c r="L20" i="2"/>
  <c r="L13" i="2"/>
  <c r="L11" i="2" s="1"/>
  <c r="O23" i="2"/>
  <c r="O19" i="2"/>
  <c r="O90" i="2"/>
  <c r="L88" i="2"/>
  <c r="M11" i="2"/>
  <c r="N37" i="2"/>
  <c r="O41" i="2"/>
  <c r="P168" i="1"/>
  <c r="P345" i="1"/>
  <c r="J594" i="1"/>
  <c r="K594" i="1" s="1"/>
  <c r="O198" i="1"/>
  <c r="J593" i="1"/>
  <c r="J592" i="1" s="1"/>
  <c r="K592" i="1" s="1"/>
  <c r="N526" i="1"/>
  <c r="O526" i="1" s="1"/>
  <c r="N786" i="2"/>
  <c r="N414" i="2" s="1"/>
  <c r="O788" i="2"/>
  <c r="M414" i="2"/>
  <c r="P414" i="2" s="1"/>
  <c r="P317" i="2"/>
  <c r="K288" i="2"/>
  <c r="O12" i="2"/>
  <c r="L9" i="2"/>
  <c r="L165" i="2"/>
  <c r="O165" i="2" s="1"/>
  <c r="M53" i="2"/>
  <c r="P53" i="2" s="1"/>
  <c r="N21" i="2"/>
  <c r="O687" i="2"/>
  <c r="L685" i="2"/>
  <c r="O685" i="2" s="1"/>
  <c r="M181" i="2"/>
  <c r="P181" i="2" s="1"/>
  <c r="P183" i="2"/>
  <c r="P29" i="2"/>
  <c r="M28" i="2"/>
  <c r="P28" i="2" s="1"/>
  <c r="O15" i="2"/>
  <c r="L21" i="2"/>
  <c r="P9" i="2"/>
  <c r="P68" i="1"/>
  <c r="P183" i="1"/>
  <c r="I418" i="2"/>
  <c r="K418" i="2" s="1"/>
  <c r="K434" i="2"/>
  <c r="O469" i="2"/>
  <c r="P261" i="2"/>
  <c r="O134" i="2"/>
  <c r="L132" i="2"/>
  <c r="O132" i="2" s="1"/>
  <c r="M41" i="2"/>
  <c r="M402" i="1"/>
  <c r="P402" i="1" s="1"/>
  <c r="N470" i="1"/>
  <c r="O470" i="1" s="1"/>
  <c r="O631" i="2"/>
  <c r="O263" i="2"/>
  <c r="L261" i="2"/>
  <c r="O261" i="2" s="1"/>
  <c r="O151" i="2"/>
  <c r="L149" i="2"/>
  <c r="O149" i="2" s="1"/>
  <c r="N16" i="2"/>
  <c r="N14" i="2" s="1"/>
  <c r="N24" i="2"/>
  <c r="J669" i="1"/>
  <c r="J654" i="1" s="1"/>
  <c r="K654" i="1" s="1"/>
  <c r="L467" i="2"/>
  <c r="O467" i="2" s="1"/>
  <c r="K275" i="2"/>
  <c r="P26" i="2"/>
  <c r="M16" i="2"/>
  <c r="M10" i="2" s="1"/>
  <c r="M8" i="2" s="1"/>
  <c r="M20" i="2"/>
  <c r="M24" i="2"/>
  <c r="L16" i="2"/>
  <c r="O26" i="2"/>
  <c r="P23" i="2"/>
  <c r="P15" i="2"/>
  <c r="K77" i="2"/>
  <c r="I65" i="2"/>
  <c r="K65" i="2" s="1"/>
  <c r="L24" i="2"/>
  <c r="L30" i="1"/>
  <c r="L28" i="1" s="1"/>
  <c r="P277" i="1"/>
  <c r="O328" i="1"/>
  <c r="P328" i="1"/>
  <c r="K64" i="1"/>
  <c r="P69" i="1"/>
  <c r="P53" i="1"/>
  <c r="P330" i="1"/>
  <c r="M24" i="1"/>
  <c r="P317" i="1"/>
  <c r="P132" i="1"/>
  <c r="N547" i="1"/>
  <c r="O547" i="1" s="1"/>
  <c r="N546" i="1"/>
  <c r="N544" i="1" s="1"/>
  <c r="O347" i="1"/>
  <c r="P55" i="1"/>
  <c r="O88" i="1"/>
  <c r="O209" i="1"/>
  <c r="O90" i="1"/>
  <c r="P298" i="1"/>
  <c r="P88" i="1"/>
  <c r="O119" i="1"/>
  <c r="O472" i="1"/>
  <c r="P121" i="1"/>
  <c r="O149" i="1"/>
  <c r="O315" i="1"/>
  <c r="P261" i="1"/>
  <c r="O330" i="1"/>
  <c r="N227" i="1"/>
  <c r="O317" i="1"/>
  <c r="P151" i="1"/>
  <c r="O151" i="1"/>
  <c r="O525" i="1"/>
  <c r="L31" i="1"/>
  <c r="P134" i="1"/>
  <c r="L345" i="1"/>
  <c r="O345" i="1" s="1"/>
  <c r="O68" i="1"/>
  <c r="P26" i="1"/>
  <c r="P279" i="1"/>
  <c r="K226" i="1"/>
  <c r="I180" i="1"/>
  <c r="K180" i="1" s="1"/>
  <c r="K143" i="1"/>
  <c r="I131" i="1"/>
  <c r="K131" i="1" s="1"/>
  <c r="N181" i="1"/>
  <c r="P181" i="1" s="1"/>
  <c r="L389" i="1"/>
  <c r="O389" i="1" s="1"/>
  <c r="O469" i="1"/>
  <c r="L132" i="1"/>
  <c r="O132" i="1" s="1"/>
  <c r="K235" i="1"/>
  <c r="K237" i="1"/>
  <c r="P90" i="1"/>
  <c r="P184" i="1"/>
  <c r="K76" i="1"/>
  <c r="P167" i="1"/>
  <c r="N165" i="1"/>
  <c r="P165" i="1" s="1"/>
  <c r="N447" i="1"/>
  <c r="O447" i="1" s="1"/>
  <c r="O36" i="1"/>
  <c r="L34" i="1"/>
  <c r="O34" i="1" s="1"/>
  <c r="N789" i="1"/>
  <c r="O789" i="1" s="1"/>
  <c r="N788" i="1"/>
  <c r="O791" i="1"/>
  <c r="O467" i="1"/>
  <c r="P315" i="1"/>
  <c r="N446" i="1"/>
  <c r="N444" i="1" s="1"/>
  <c r="P263" i="1"/>
  <c r="O249" i="1"/>
  <c r="O43" i="1"/>
  <c r="P66" i="1"/>
  <c r="O523" i="1"/>
  <c r="P300" i="1"/>
  <c r="J559" i="1"/>
  <c r="K576" i="1"/>
  <c r="P9" i="1"/>
  <c r="M20" i="1"/>
  <c r="M13" i="1"/>
  <c r="P23" i="1"/>
  <c r="N658" i="1"/>
  <c r="O658" i="1" s="1"/>
  <c r="N657" i="1"/>
  <c r="N655" i="1" s="1"/>
  <c r="P545" i="1"/>
  <c r="M544" i="1"/>
  <c r="P544" i="1" s="1"/>
  <c r="O26" i="1"/>
  <c r="L16" i="1"/>
  <c r="L24" i="1"/>
  <c r="O404" i="1"/>
  <c r="L402" i="1"/>
  <c r="O402" i="1" s="1"/>
  <c r="N41" i="1"/>
  <c r="O91" i="1"/>
  <c r="N421" i="1"/>
  <c r="N422" i="1"/>
  <c r="O422" i="1" s="1"/>
  <c r="N33" i="1"/>
  <c r="N13" i="1" s="1"/>
  <c r="I65" i="1"/>
  <c r="K65" i="1" s="1"/>
  <c r="K77" i="1"/>
  <c r="O69" i="1"/>
  <c r="N632" i="1"/>
  <c r="O632" i="1" s="1"/>
  <c r="O634" i="1"/>
  <c r="N631" i="1"/>
  <c r="L181" i="1"/>
  <c r="O183" i="1"/>
  <c r="O23" i="1"/>
  <c r="L20" i="1"/>
  <c r="L13" i="1"/>
  <c r="L11" i="1" s="1"/>
  <c r="L21" i="1"/>
  <c r="M28" i="1"/>
  <c r="P28" i="1" s="1"/>
  <c r="P29" i="1"/>
  <c r="O15" i="1"/>
  <c r="N688" i="1"/>
  <c r="O688" i="1" s="1"/>
  <c r="O690" i="1"/>
  <c r="N687" i="1"/>
  <c r="L655" i="1"/>
  <c r="N20" i="1"/>
  <c r="N18" i="1" s="1"/>
  <c r="N21" i="1"/>
  <c r="P21" i="1" s="1"/>
  <c r="P43" i="1"/>
  <c r="O44" i="1"/>
  <c r="O29" i="1"/>
  <c r="P119" i="1"/>
  <c r="O12" i="1"/>
  <c r="L9" i="1"/>
  <c r="K434" i="1"/>
  <c r="I418" i="1"/>
  <c r="K418" i="1" s="1"/>
  <c r="L444" i="1"/>
  <c r="O660" i="1"/>
  <c r="O279" i="1"/>
  <c r="L277" i="1"/>
  <c r="O277" i="1" s="1"/>
  <c r="O300" i="1"/>
  <c r="L298" i="1"/>
  <c r="O298" i="1" s="1"/>
  <c r="O55" i="1"/>
  <c r="L53" i="1"/>
  <c r="M14" i="1"/>
  <c r="P15" i="1"/>
  <c r="O238" i="1"/>
  <c r="L227" i="1"/>
  <c r="O263" i="1"/>
  <c r="L261" i="1"/>
  <c r="O261" i="1" s="1"/>
  <c r="M414" i="1"/>
  <c r="P414" i="1" s="1"/>
  <c r="P419" i="1"/>
  <c r="L544" i="1"/>
  <c r="N16" i="1"/>
  <c r="N14" i="1" s="1"/>
  <c r="N24" i="1"/>
  <c r="O125" i="1"/>
  <c r="O37" i="15" l="1"/>
  <c r="O11" i="18"/>
  <c r="O37" i="18"/>
  <c r="P37" i="18"/>
  <c r="P10" i="18"/>
  <c r="P37" i="14"/>
  <c r="O8" i="18"/>
  <c r="P8" i="18"/>
  <c r="O10" i="18"/>
  <c r="O37" i="17"/>
  <c r="O37" i="16"/>
  <c r="P37" i="17"/>
  <c r="P37" i="16"/>
  <c r="M8" i="17"/>
  <c r="P8" i="17" s="1"/>
  <c r="O10" i="17"/>
  <c r="L8" i="17"/>
  <c r="O8" i="17" s="1"/>
  <c r="P10" i="15"/>
  <c r="L8" i="15"/>
  <c r="O8" i="15" s="1"/>
  <c r="O10" i="16"/>
  <c r="L8" i="16"/>
  <c r="O8" i="16" s="1"/>
  <c r="P10" i="16"/>
  <c r="M8" i="16"/>
  <c r="P8" i="16" s="1"/>
  <c r="M8" i="15"/>
  <c r="P8" i="15" s="1"/>
  <c r="P11" i="15"/>
  <c r="P37" i="15"/>
  <c r="O37" i="14"/>
  <c r="O11" i="15"/>
  <c r="O37" i="12"/>
  <c r="O10" i="14"/>
  <c r="L8" i="14"/>
  <c r="O8" i="14" s="1"/>
  <c r="O14" i="14"/>
  <c r="P14" i="14"/>
  <c r="P10" i="14"/>
  <c r="M8" i="14"/>
  <c r="P8" i="14" s="1"/>
  <c r="O10" i="13"/>
  <c r="O8" i="13"/>
  <c r="O37" i="13"/>
  <c r="P37" i="13"/>
  <c r="O10" i="12"/>
  <c r="P10" i="13"/>
  <c r="M8" i="13"/>
  <c r="P8" i="13" s="1"/>
  <c r="P37" i="11"/>
  <c r="O37" i="11"/>
  <c r="P11" i="12"/>
  <c r="P10" i="12"/>
  <c r="P37" i="10"/>
  <c r="O8" i="12"/>
  <c r="P37" i="12"/>
  <c r="O10" i="11"/>
  <c r="M8" i="12"/>
  <c r="P8" i="12" s="1"/>
  <c r="P18" i="11"/>
  <c r="N8" i="11"/>
  <c r="P8" i="11" s="1"/>
  <c r="P10" i="11"/>
  <c r="O37" i="10"/>
  <c r="O10" i="10"/>
  <c r="P18" i="10"/>
  <c r="P11" i="10"/>
  <c r="P10" i="10"/>
  <c r="M8" i="10"/>
  <c r="P8" i="10" s="1"/>
  <c r="O8" i="10"/>
  <c r="M8" i="9"/>
  <c r="P8" i="9" s="1"/>
  <c r="P37" i="9"/>
  <c r="O11" i="9"/>
  <c r="O10" i="9"/>
  <c r="L8" i="9"/>
  <c r="O8" i="9" s="1"/>
  <c r="O37" i="9"/>
  <c r="P10" i="7"/>
  <c r="O8" i="8"/>
  <c r="P37" i="8"/>
  <c r="O37" i="8"/>
  <c r="P10" i="8"/>
  <c r="O10" i="8"/>
  <c r="O37" i="7"/>
  <c r="O414" i="8"/>
  <c r="P8" i="8"/>
  <c r="O11" i="7"/>
  <c r="P37" i="5"/>
  <c r="O8" i="7"/>
  <c r="P37" i="7"/>
  <c r="O10" i="7"/>
  <c r="M8" i="7"/>
  <c r="P8" i="7" s="1"/>
  <c r="O37" i="6"/>
  <c r="P10" i="6"/>
  <c r="P37" i="6"/>
  <c r="O10" i="6"/>
  <c r="L8" i="6"/>
  <c r="O8" i="6" s="1"/>
  <c r="O11" i="6"/>
  <c r="M8" i="6"/>
  <c r="P8" i="6" s="1"/>
  <c r="O37" i="5"/>
  <c r="P11" i="5"/>
  <c r="O11" i="5"/>
  <c r="I180" i="2"/>
  <c r="K180" i="2" s="1"/>
  <c r="O37" i="4"/>
  <c r="O10" i="5"/>
  <c r="L8" i="5"/>
  <c r="O8" i="5" s="1"/>
  <c r="O13" i="4"/>
  <c r="P10" i="5"/>
  <c r="M8" i="5"/>
  <c r="P8" i="5" s="1"/>
  <c r="P37" i="4"/>
  <c r="O30" i="4"/>
  <c r="N10" i="4"/>
  <c r="N8" i="4" s="1"/>
  <c r="P8" i="4" s="1"/>
  <c r="N11" i="4"/>
  <c r="P21" i="2"/>
  <c r="O20" i="2"/>
  <c r="L8" i="3"/>
  <c r="O8" i="3" s="1"/>
  <c r="P11" i="3"/>
  <c r="O11" i="3"/>
  <c r="L28" i="2"/>
  <c r="O28" i="2" s="1"/>
  <c r="M8" i="3"/>
  <c r="P8" i="3" s="1"/>
  <c r="P24" i="2"/>
  <c r="O21" i="2"/>
  <c r="K593" i="1"/>
  <c r="O16" i="2"/>
  <c r="M37" i="1"/>
  <c r="M14" i="2"/>
  <c r="P14" i="2" s="1"/>
  <c r="O181" i="1"/>
  <c r="O24" i="2"/>
  <c r="L414" i="2"/>
  <c r="O414" i="2" s="1"/>
  <c r="P20" i="2"/>
  <c r="M18" i="2"/>
  <c r="P18" i="2" s="1"/>
  <c r="K669" i="1"/>
  <c r="P16" i="2"/>
  <c r="L18" i="2"/>
  <c r="O18" i="2" s="1"/>
  <c r="N10" i="2"/>
  <c r="N8" i="2" s="1"/>
  <c r="P8" i="2" s="1"/>
  <c r="N11" i="2"/>
  <c r="O11" i="2" s="1"/>
  <c r="P41" i="2"/>
  <c r="M37" i="2"/>
  <c r="P37" i="2" s="1"/>
  <c r="L14" i="2"/>
  <c r="O14" i="2" s="1"/>
  <c r="O786" i="2"/>
  <c r="O9" i="2"/>
  <c r="O88" i="2"/>
  <c r="L37" i="2"/>
  <c r="O37" i="2" s="1"/>
  <c r="O13" i="2"/>
  <c r="L10" i="2"/>
  <c r="O655" i="1"/>
  <c r="O544" i="1"/>
  <c r="O16" i="1"/>
  <c r="P24" i="1"/>
  <c r="O546" i="1"/>
  <c r="O446" i="1"/>
  <c r="O444" i="1"/>
  <c r="O165" i="1"/>
  <c r="O657" i="1"/>
  <c r="N786" i="1"/>
  <c r="O786" i="1" s="1"/>
  <c r="O788" i="1"/>
  <c r="O53" i="1"/>
  <c r="L37" i="1"/>
  <c r="N30" i="1"/>
  <c r="N31" i="1"/>
  <c r="O31" i="1" s="1"/>
  <c r="O33" i="1"/>
  <c r="L414" i="1"/>
  <c r="O687" i="1"/>
  <c r="N685" i="1"/>
  <c r="O685" i="1" s="1"/>
  <c r="O20" i="1"/>
  <c r="L18" i="1"/>
  <c r="O18" i="1" s="1"/>
  <c r="N10" i="1"/>
  <c r="N8" i="1" s="1"/>
  <c r="N11" i="1"/>
  <c r="O11" i="1" s="1"/>
  <c r="L14" i="1"/>
  <c r="O14" i="1" s="1"/>
  <c r="O13" i="1"/>
  <c r="L10" i="1"/>
  <c r="L8" i="1" s="1"/>
  <c r="N419" i="1"/>
  <c r="O421" i="1"/>
  <c r="O24" i="1"/>
  <c r="P16" i="1"/>
  <c r="P13" i="1"/>
  <c r="M10" i="1"/>
  <c r="M11" i="1"/>
  <c r="P14" i="1"/>
  <c r="O9" i="1"/>
  <c r="O21" i="1"/>
  <c r="N629" i="1"/>
  <c r="O629" i="1" s="1"/>
  <c r="O631" i="1"/>
  <c r="N37" i="1"/>
  <c r="P41" i="1"/>
  <c r="O41" i="1"/>
  <c r="P20" i="1"/>
  <c r="M18" i="1"/>
  <c r="P18" i="1" s="1"/>
  <c r="J543" i="1"/>
  <c r="K543" i="1" s="1"/>
  <c r="K559" i="1"/>
  <c r="O8" i="11" l="1"/>
  <c r="P10" i="4"/>
  <c r="O8" i="4"/>
  <c r="O10" i="4"/>
  <c r="P11" i="4"/>
  <c r="O11" i="4"/>
  <c r="O10" i="2"/>
  <c r="P11" i="2"/>
  <c r="P37" i="1"/>
  <c r="P10" i="2"/>
  <c r="L8" i="2"/>
  <c r="O8" i="2" s="1"/>
  <c r="N414" i="1"/>
  <c r="O414" i="1" s="1"/>
  <c r="O419" i="1"/>
  <c r="P10" i="1"/>
  <c r="M8" i="1"/>
  <c r="P8" i="1" s="1"/>
  <c r="O8" i="1"/>
  <c r="O10" i="1"/>
  <c r="N28" i="1"/>
  <c r="O28" i="1" s="1"/>
  <c r="O30" i="1"/>
  <c r="O37" i="1"/>
  <c r="P11" i="1"/>
</calcChain>
</file>

<file path=xl/sharedStrings.xml><?xml version="1.0" encoding="utf-8"?>
<sst xmlns="http://schemas.openxmlformats.org/spreadsheetml/2006/main" count="27981" uniqueCount="356">
  <si>
    <t>รายละเอียดแผนงาน/โครงการ ผลผลิต/กิจกรรม ปีงบประมาณ พ.ศ. 2566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</si>
  <si>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</si>
  <si>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</si>
  <si>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</si>
  <si>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</si>
  <si>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</si>
  <si>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</si>
  <si>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</si>
  <si>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</si>
  <si>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</si>
  <si>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</si>
  <si>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</si>
  <si>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</si>
  <si>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</si>
  <si>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</si>
  <si>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</si>
  <si>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</si>
  <si>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</si>
  <si>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</si>
  <si>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</si>
  <si>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</si>
  <si>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</si>
  <si>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</si>
  <si>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</si>
  <si>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</si>
  <si>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</si>
  <si>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</si>
  <si>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</si>
  <si>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</si>
  <si>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</si>
  <si>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</si>
  <si>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</si>
  <si>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</si>
  <si>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</si>
  <si>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</si>
  <si>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</si>
  <si>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</si>
  <si>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</si>
  <si>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</si>
  <si>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</si>
  <si>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</si>
  <si>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</si>
  <si>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</si>
  <si>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</si>
  <si>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</si>
  <si>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</si>
  <si>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</si>
  <si>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</si>
  <si>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</si>
  <si>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</si>
  <si>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</si>
  <si>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</si>
  <si>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</si>
  <si>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</si>
  <si>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</si>
  <si>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</si>
  <si>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</si>
  <si>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</si>
  <si>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</si>
  <si>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</si>
  <si>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</si>
  <si>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</si>
  <si>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</si>
  <si>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</si>
  <si>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</si>
  <si>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</si>
  <si>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</si>
  <si>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</si>
  <si>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</si>
  <si>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</si>
  <si>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</si>
  <si>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</si>
  <si>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</si>
  <si>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</si>
  <si>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</si>
  <si>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</si>
  <si>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</si>
  <si>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</si>
  <si>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</si>
  <si>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</si>
  <si>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</si>
  <si>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</si>
  <si>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</si>
  <si>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</si>
  <si>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</si>
  <si>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</si>
  <si>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</si>
  <si>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</si>
  <si>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</si>
  <si>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</si>
  <si>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</si>
  <si>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</si>
  <si>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</si>
  <si>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</si>
  <si>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</si>
  <si>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</si>
  <si>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</si>
  <si>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</si>
  <si>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</si>
  <si>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</si>
  <si>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</si>
  <si>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</si>
  <si>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</si>
  <si>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</si>
  <si>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</si>
  <si>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</si>
  <si>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</si>
  <si>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</si>
  <si>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</si>
  <si>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</si>
  <si>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</si>
  <si>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</si>
  <si>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</si>
  <si>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</si>
  <si>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</si>
  <si>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</si>
  <si>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</si>
  <si>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</si>
  <si>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</si>
  <si>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</si>
  <si>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</si>
  <si>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</si>
  <si>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</si>
  <si>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</si>
  <si>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</si>
  <si>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</si>
  <si>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</si>
  <si>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</si>
  <si>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</si>
  <si>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</si>
  <si>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</si>
  <si>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</si>
  <si>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</si>
  <si>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</si>
  <si>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</si>
  <si>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</si>
  <si>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</si>
  <si>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</si>
  <si>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</si>
  <si>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</si>
  <si>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</si>
  <si>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</si>
  <si>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</si>
  <si>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</si>
  <si>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</si>
  <si>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</si>
  <si>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</si>
  <si>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</si>
  <si>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</si>
  <si>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</si>
  <si>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</si>
  <si>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</si>
  <si>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</si>
  <si>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</si>
  <si>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</si>
  <si>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</si>
  <si>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</si>
  <si>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</si>
  <si>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</si>
  <si>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</si>
  <si>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</si>
  <si>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</si>
  <si>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</si>
  <si>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</si>
  <si>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</si>
  <si>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</si>
  <si>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</si>
  <si>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</si>
  <si>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</si>
  <si>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</si>
  <si>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</si>
  <si>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</si>
  <si>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</si>
  <si>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</si>
  <si>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</si>
  <si>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</si>
  <si>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</si>
  <si>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</si>
  <si>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</si>
  <si>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</si>
  <si>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</si>
  <si>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</si>
  <si>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</si>
  <si>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</si>
  <si>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</si>
  <si>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</si>
  <si>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</si>
  <si>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</si>
  <si>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</si>
  <si>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</si>
  <si>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</si>
  <si>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</si>
  <si>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</si>
  <si>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</si>
  <si>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</si>
  <si>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</si>
  <si>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</si>
  <si>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</si>
  <si>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</si>
  <si>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</si>
  <si>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</si>
  <si>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</si>
  <si>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</si>
  <si>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</si>
  <si>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</si>
  <si>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</si>
  <si>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</si>
  <si>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</si>
  <si>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</si>
  <si>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</si>
  <si>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</si>
  <si>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</si>
  <si>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</si>
  <si>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</si>
  <si>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</si>
  <si>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</si>
  <si>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</si>
  <si>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</si>
  <si>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</si>
  <si>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</si>
  <si>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</si>
  <si>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</si>
  <si>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</si>
  <si>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</si>
  <si>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</si>
  <si>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</si>
  <si>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</si>
  <si>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</si>
  <si>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</si>
  <si>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</si>
  <si>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</si>
  <si>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</si>
  <si>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</si>
  <si>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</si>
  <si>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</si>
  <si>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</si>
  <si>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</si>
  <si>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</si>
  <si>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</si>
  <si>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</si>
  <si>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</si>
  <si>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</si>
  <si>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</si>
  <si>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</si>
  <si>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</si>
  <si>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</si>
  <si>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</si>
  <si>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</si>
  <si>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</si>
  <si>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</si>
  <si>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</si>
  <si>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</si>
  <si>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</si>
  <si>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</si>
  <si>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</si>
  <si>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</si>
  <si>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</si>
  <si>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</si>
  <si>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</si>
  <si>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</si>
  <si>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</si>
  <si>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</si>
  <si>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</si>
  <si>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</si>
  <si>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</si>
  <si>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</si>
  <si>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</si>
  <si>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</si>
  <si>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</si>
  <si>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</si>
  <si>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</si>
  <si>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</si>
  <si>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</si>
  <si>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</si>
  <si>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</si>
  <si>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</si>
  <si>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</si>
  <si>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</si>
  <si>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</si>
  <si>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</si>
  <si>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</si>
  <si>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</si>
  <si>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</si>
  <si>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</si>
  <si>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</si>
  <si>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</si>
  <si>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</si>
  <si>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</si>
  <si>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</si>
  <si>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</si>
  <si>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</si>
  <si>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</si>
  <si>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</si>
  <si>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</si>
  <si>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</si>
  <si>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</si>
  <si>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</si>
  <si>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</si>
  <si>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</si>
  <si>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</si>
  <si>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</si>
  <si>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</si>
  <si>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</si>
  <si>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</si>
  <si>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</si>
  <si>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</si>
  <si>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</si>
  <si>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</si>
  <si>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</si>
  <si>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</si>
  <si>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</si>
  <si>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</si>
  <si>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</si>
  <si>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</si>
  <si>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</si>
  <si>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</si>
  <si>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</si>
  <si>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</si>
  <si>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</si>
  <si>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</si>
  <si>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</si>
  <si>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</si>
  <si>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</si>
  <si>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</si>
  <si>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</si>
  <si>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</si>
  <si>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</si>
  <si>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</si>
  <si>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</si>
  <si>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กำแพงเพชร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</si>
  <si>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</si>
  <si>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</si>
  <si>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</si>
  <si>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เชียงราย</t>
  </si>
  <si>
    <t>สำนักงานการปฏิรูปที่ดินจังหวัด เชียงใหม่</t>
  </si>
  <si>
    <t>(5) โครงการธนาคารอาหารชุมชน (เกษตรวิชญา)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</si>
  <si>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</si>
  <si>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</si>
  <si>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</si>
  <si>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โครงการศูนย์ภูฟ้าฯ</t>
  </si>
  <si>
    <t>(6) โครงการปิดทองหลังพระ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</si>
  <si>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</si>
  <si>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</si>
  <si>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</si>
  <si>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</si>
  <si>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</si>
  <si>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</si>
  <si>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</si>
  <si>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</si>
  <si>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</si>
  <si>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</si>
  <si>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(5) โครงการพัฒนาพื้นที่ลุ่มน้ำแม่อาวฯ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</si>
  <si>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</si>
  <si>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</si>
  <si>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</si>
  <si>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วันที่ 28 กุมภาพันธ์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</si>
</sst>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5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3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936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0" fontId="1" fillId="23" borderId="10" xfId="0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2" fillId="0" borderId="10" xfId="0" applyFont="1" applyBorder="1" applyAlignment="1"/>
    <xf numFmtId="0" fontId="14" fillId="0" borderId="10" xfId="0" quotePrefix="1" applyFont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7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38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38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39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0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1" fillId="0" borderId="9" xfId="0" applyNumberFormat="1" applyFont="1" applyBorder="1" applyAlignment="1"/>
    <xf numFmtId="187" fontId="42" fillId="8" borderId="9" xfId="0" applyNumberFormat="1" applyFont="1" applyFill="1" applyBorder="1" applyAlignment="1"/>
    <xf numFmtId="187" fontId="42" fillId="8" borderId="10" xfId="0" applyNumberFormat="1" applyFont="1" applyFill="1" applyBorder="1" applyAlignment="1"/>
    <xf numFmtId="0" fontId="43" fillId="8" borderId="10" xfId="0" applyFont="1" applyFill="1" applyBorder="1" applyAlignment="1"/>
    <xf numFmtId="0" fontId="44" fillId="8" borderId="10" xfId="0" applyFont="1" applyFill="1" applyBorder="1" applyAlignment="1"/>
    <xf numFmtId="0" fontId="42" fillId="8" borderId="10" xfId="0" applyFont="1" applyFill="1" applyBorder="1" applyAlignment="1"/>
    <xf numFmtId="0" fontId="42" fillId="8" borderId="11" xfId="0" applyFont="1" applyFill="1" applyBorder="1" applyAlignment="1"/>
    <xf numFmtId="0" fontId="45" fillId="8" borderId="11" xfId="0" applyFont="1" applyFill="1" applyBorder="1" applyAlignment="1">
      <alignment horizontal="center"/>
    </xf>
    <xf numFmtId="189" fontId="45" fillId="8" borderId="11" xfId="0" applyNumberFormat="1" applyFont="1" applyFill="1" applyBorder="1" applyAlignment="1"/>
    <xf numFmtId="188" fontId="45" fillId="8" borderId="11" xfId="0" applyNumberFormat="1" applyFont="1" applyFill="1" applyBorder="1" applyAlignment="1"/>
    <xf numFmtId="188" fontId="46" fillId="8" borderId="11" xfId="0" applyNumberFormat="1" applyFont="1" applyFill="1" applyBorder="1" applyAlignment="1"/>
    <xf numFmtId="0" fontId="47" fillId="0" borderId="0" xfId="0" applyFont="1"/>
    <xf numFmtId="187" fontId="42" fillId="30" borderId="9" xfId="0" applyNumberFormat="1" applyFont="1" applyFill="1" applyBorder="1" applyAlignment="1"/>
    <xf numFmtId="187" fontId="42" fillId="30" borderId="10" xfId="0" applyNumberFormat="1" applyFont="1" applyFill="1" applyBorder="1" applyAlignment="1"/>
    <xf numFmtId="0" fontId="43" fillId="30" borderId="10" xfId="0" applyFont="1" applyFill="1" applyBorder="1" applyAlignment="1"/>
    <xf numFmtId="0" fontId="43" fillId="30" borderId="10" xfId="0" applyFont="1" applyFill="1" applyBorder="1" applyAlignment="1"/>
    <xf numFmtId="0" fontId="42" fillId="30" borderId="10" xfId="0" applyFont="1" applyFill="1" applyBorder="1" applyAlignment="1"/>
    <xf numFmtId="0" fontId="42" fillId="30" borderId="11" xfId="0" applyFont="1" applyFill="1" applyBorder="1" applyAlignment="1"/>
    <xf numFmtId="0" fontId="45" fillId="30" borderId="11" xfId="0" applyFont="1" applyFill="1" applyBorder="1" applyAlignment="1">
      <alignment horizontal="center"/>
    </xf>
    <xf numFmtId="189" fontId="45" fillId="30" borderId="11" xfId="0" applyNumberFormat="1" applyFont="1" applyFill="1" applyBorder="1" applyAlignment="1"/>
    <xf numFmtId="189" fontId="45" fillId="30" borderId="11" xfId="0" applyNumberFormat="1" applyFont="1" applyFill="1" applyBorder="1" applyAlignment="1"/>
    <xf numFmtId="188" fontId="45" fillId="30" borderId="11" xfId="0" applyNumberFormat="1" applyFont="1" applyFill="1" applyBorder="1" applyAlignment="1"/>
    <xf numFmtId="188" fontId="46" fillId="30" borderId="11" xfId="0" applyNumberFormat="1" applyFont="1" applyFill="1" applyBorder="1" applyAlignment="1"/>
    <xf numFmtId="0" fontId="48" fillId="30" borderId="10" xfId="0" applyFont="1" applyFill="1" applyBorder="1" applyAlignment="1"/>
    <xf numFmtId="0" fontId="46" fillId="30" borderId="11" xfId="0" applyFont="1" applyFill="1" applyBorder="1" applyAlignment="1"/>
    <xf numFmtId="189" fontId="46" fillId="30" borderId="11" xfId="0" applyNumberFormat="1" applyFont="1" applyFill="1" applyBorder="1" applyAlignment="1"/>
    <xf numFmtId="41" fontId="45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49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0" fontId="7" fillId="0" borderId="10" xfId="0" applyFont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187" fontId="7" fillId="2" borderId="10" xfId="0" applyNumberFormat="1" applyFont="1" applyFill="1" applyBorder="1" applyAlignment="1"/>
    <xf numFmtId="0" fontId="51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3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4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0" fontId="9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5" fillId="2" borderId="11" xfId="0" applyFont="1" applyFill="1" applyBorder="1" applyAlignment="1"/>
    <xf numFmtId="187" fontId="56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57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58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59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0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1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3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4" fillId="2" borderId="10" xfId="0" applyFont="1" applyFill="1" applyBorder="1" applyAlignment="1"/>
    <xf numFmtId="0" fontId="9" fillId="2" borderId="10" xfId="0" applyFont="1" applyFill="1" applyBorder="1" applyAlignment="1"/>
    <xf numFmtId="0" fontId="65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1" fillId="2" borderId="10" xfId="0" applyFont="1" applyFill="1" applyBorder="1" applyAlignment="1"/>
    <xf numFmtId="0" fontId="4" fillId="0" borderId="5" xfId="0" applyFont="1" applyBorder="1" applyAlignment="1"/>
    <xf numFmtId="0" fontId="66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7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68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3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187" fontId="4" fillId="0" borderId="11" xfId="0" applyNumberFormat="1" applyFont="1" applyBorder="1" applyAlignment="1">
      <alignment horizontal="center" wrapText="1"/>
    </xf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10" xfId="0" applyFont="1" applyBorder="1" applyAlignment="1"/>
    <xf numFmtId="0" fontId="32" fillId="0" borderId="10" xfId="0" applyFont="1" applyBorder="1" applyAlignment="1"/>
    <xf numFmtId="0" fontId="32" fillId="0" borderId="11" xfId="0" applyFont="1" applyBorder="1" applyAlignment="1">
      <alignment horizontal="center" wrapText="1"/>
    </xf>
    <xf numFmtId="0" fontId="32" fillId="0" borderId="0" xfId="0" applyFont="1" applyAlignment="1"/>
    <xf numFmtId="187" fontId="9" fillId="38" borderId="10" xfId="0" applyNumberFormat="1" applyFont="1" applyFill="1" applyBorder="1" applyAlignment="1"/>
    <xf numFmtId="187" fontId="70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0" fillId="0" borderId="0" xfId="0" applyFont="1" applyAlignment="1"/>
    <xf numFmtId="0" fontId="57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15" fillId="23" borderId="10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2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8" fontId="9" fillId="2" borderId="14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7" fillId="0" borderId="11" xfId="0" applyFont="1" applyBorder="1" applyAlignment="1"/>
    <xf numFmtId="187" fontId="8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2" fillId="21" borderId="10" xfId="0" applyNumberFormat="1" applyFont="1" applyFill="1" applyBorder="1" applyAlignment="1"/>
    <xf numFmtId="187" fontId="52" fillId="21" borderId="10" xfId="0" quotePrefix="1" applyNumberFormat="1" applyFont="1" applyFill="1" applyBorder="1" applyAlignment="1"/>
    <xf numFmtId="0" fontId="57" fillId="21" borderId="10" xfId="0" quotePrefix="1" applyFont="1" applyFill="1" applyBorder="1" applyAlignment="1"/>
    <xf numFmtId="0" fontId="52" fillId="21" borderId="10" xfId="0" quotePrefix="1" applyFont="1" applyFill="1" applyBorder="1" applyAlignment="1"/>
    <xf numFmtId="0" fontId="52" fillId="21" borderId="10" xfId="0" applyFont="1" applyFill="1" applyBorder="1" applyAlignment="1"/>
    <xf numFmtId="0" fontId="57" fillId="21" borderId="10" xfId="0" applyFont="1" applyFill="1" applyBorder="1" applyAlignment="1"/>
    <xf numFmtId="0" fontId="58" fillId="2" borderId="10" xfId="0" applyFont="1" applyFill="1" applyBorder="1" applyAlignment="1"/>
    <xf numFmtId="187" fontId="57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9" fontId="4" fillId="26" borderId="11" xfId="0" applyNumberFormat="1" applyFont="1" applyFill="1" applyBorder="1" applyAlignment="1"/>
    <xf numFmtId="189" fontId="4" fillId="38" borderId="11" xfId="0" applyNumberFormat="1" applyFont="1" applyFill="1" applyBorder="1" applyAlignment="1"/>
    <xf numFmtId="0" fontId="6" fillId="41" borderId="27" xfId="0" applyFont="1" applyFill="1" applyBorder="1" applyAlignment="1"/>
    <xf numFmtId="0" fontId="4" fillId="41" borderId="28" xfId="0" applyFont="1" applyFill="1" applyBorder="1" applyAlignment="1"/>
    <xf numFmtId="187" fontId="4" fillId="41" borderId="28" xfId="0" applyNumberFormat="1" applyFont="1" applyFill="1" applyBorder="1" applyAlignment="1"/>
    <xf numFmtId="0" fontId="4" fillId="41" borderId="29" xfId="0" applyFont="1" applyFill="1" applyBorder="1" applyAlignment="1"/>
    <xf numFmtId="0" fontId="6" fillId="41" borderId="29" xfId="0" applyFont="1" applyFill="1" applyBorder="1" applyAlignment="1"/>
    <xf numFmtId="189" fontId="4" fillId="41" borderId="29" xfId="0" applyNumberFormat="1" applyFont="1" applyFill="1" applyBorder="1" applyAlignment="1"/>
    <xf numFmtId="188" fontId="4" fillId="41" borderId="29" xfId="0" applyNumberFormat="1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5" fillId="0" borderId="16" xfId="0" applyFont="1" applyBorder="1" applyAlignment="1">
      <alignment horizontal="center" wrapText="1"/>
    </xf>
    <xf numFmtId="189" fontId="29" fillId="0" borderId="11" xfId="0" applyNumberFormat="1" applyFont="1" applyBorder="1" applyAlignment="1"/>
    <xf numFmtId="189" fontId="35" fillId="0" borderId="11" xfId="0" applyNumberFormat="1" applyFont="1" applyBorder="1" applyAlignment="1">
      <alignment horizontal="right"/>
    </xf>
    <xf numFmtId="188" fontId="29" fillId="2" borderId="11" xfId="0" applyNumberFormat="1" applyFont="1" applyFill="1" applyBorder="1" applyAlignment="1"/>
    <xf numFmtId="189" fontId="35" fillId="2" borderId="11" xfId="0" applyNumberFormat="1" applyFont="1" applyFill="1" applyBorder="1" applyAlignment="1">
      <alignment horizontal="right"/>
    </xf>
    <xf numFmtId="188" fontId="35" fillId="2" borderId="11" xfId="0" applyNumberFormat="1" applyFont="1" applyFill="1" applyBorder="1" applyAlignment="1">
      <alignment horizontal="right"/>
    </xf>
    <xf numFmtId="188" fontId="6" fillId="8" borderId="4" xfId="0" applyNumberFormat="1" applyFont="1" applyFill="1" applyBorder="1" applyAlignment="1"/>
    <xf numFmtId="188" fontId="6" fillId="13" borderId="11" xfId="0" applyNumberFormat="1" applyFont="1" applyFill="1" applyBorder="1" applyAlignment="1"/>
    <xf numFmtId="188" fontId="6" fillId="17" borderId="11" xfId="0" applyNumberFormat="1" applyFont="1" applyFill="1" applyBorder="1" applyAlignment="1"/>
    <xf numFmtId="0" fontId="74" fillId="2" borderId="0" xfId="0" applyFont="1" applyFill="1"/>
    <xf numFmtId="187" fontId="20" fillId="23" borderId="9" xfId="0" applyNumberFormat="1" applyFont="1" applyFill="1" applyBorder="1" applyAlignment="1"/>
    <xf numFmtId="187" fontId="20" fillId="23" borderId="10" xfId="0" applyNumberFormat="1" applyFont="1" applyFill="1" applyBorder="1" applyAlignment="1"/>
    <xf numFmtId="0" fontId="20" fillId="23" borderId="10" xfId="0" applyFont="1" applyFill="1" applyBorder="1" applyAlignment="1"/>
    <xf numFmtId="0" fontId="20" fillId="23" borderId="11" xfId="0" applyFont="1" applyFill="1" applyBorder="1" applyAlignment="1"/>
    <xf numFmtId="0" fontId="20" fillId="23" borderId="13" xfId="0" applyFont="1" applyFill="1" applyBorder="1" applyAlignment="1"/>
    <xf numFmtId="187" fontId="6" fillId="0" borderId="9" xfId="0" applyNumberFormat="1" applyFont="1" applyBorder="1" applyAlignment="1"/>
    <xf numFmtId="0" fontId="6" fillId="0" borderId="11" xfId="0" applyFont="1" applyBorder="1" applyAlignment="1"/>
    <xf numFmtId="0" fontId="6" fillId="0" borderId="0" xfId="0" applyFont="1" applyAlignment="1"/>
    <xf numFmtId="0" fontId="6" fillId="38" borderId="8" xfId="0" applyFont="1" applyFill="1" applyBorder="1" applyAlignment="1">
      <alignment horizontal="center"/>
    </xf>
    <xf numFmtId="191" fontId="4" fillId="2" borderId="11" xfId="0" applyNumberFormat="1" applyFont="1" applyFill="1" applyBorder="1" applyAlignment="1"/>
    <xf numFmtId="189" fontId="4" fillId="10" borderId="11" xfId="0" applyNumberFormat="1" applyFont="1" applyFill="1" applyBorder="1" applyAlignment="1">
      <alignment horizontal="center"/>
    </xf>
    <xf numFmtId="189" fontId="6" fillId="10" borderId="11" xfId="0" applyNumberFormat="1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0" fillId="2" borderId="13" xfId="0" applyFont="1" applyFill="1" applyBorder="1" applyAlignment="1"/>
    <xf numFmtId="0" fontId="3" fillId="0" borderId="13" xfId="0" applyFont="1" applyBorder="1"/>
    <xf numFmtId="0" fontId="52" fillId="2" borderId="10" xfId="0" applyFont="1" applyFill="1" applyBorder="1" applyAlignment="1"/>
    <xf numFmtId="0" fontId="57" fillId="2" borderId="10" xfId="0" applyFont="1" applyFill="1" applyBorder="1" applyAlignment="1"/>
    <xf numFmtId="0" fontId="62" fillId="2" borderId="13" xfId="0" applyFont="1" applyFill="1" applyBorder="1" applyAlignment="1"/>
    <xf numFmtId="0" fontId="69" fillId="2" borderId="10" xfId="0" applyFont="1" applyFill="1" applyBorder="1" applyAlignment="1"/>
    <xf numFmtId="0" fontId="52" fillId="2" borderId="13" xfId="0" applyFont="1" applyFill="1" applyBorder="1" applyAlignment="1"/>
    <xf numFmtId="0" fontId="5" fillId="2" borderId="13" xfId="0" applyFont="1" applyFill="1" applyBorder="1" applyAlignment="1"/>
    <xf numFmtId="0" fontId="58" fillId="2" borderId="10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70" zoomScaleNormal="100" zoomScaleSheetLayoutView="7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customWidth="1"/>
    <col min="12" max="12" width="23.5703125" bestFit="1" customWidth="1"/>
    <col min="13" max="13" width="22" bestFit="1" customWidth="1"/>
    <col min="14" max="14" width="23" bestFit="1" customWidth="1"/>
    <col min="15" max="16" width="17.5703125" customWidth="1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1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115399577</v>
      </c>
      <c r="M8" s="22">
        <f t="shared" ca="1" si="0"/>
        <v>66654354.700000003</v>
      </c>
      <c r="N8" s="22">
        <f t="shared" ca="1" si="0"/>
        <v>39329199.699999996</v>
      </c>
      <c r="O8" s="22">
        <f t="shared" ref="O8:O16" ca="1" si="1">IF(L8&gt;0,N8*100/L8,0)</f>
        <v>34.080887228902057</v>
      </c>
      <c r="P8" s="22">
        <f t="shared" ref="P8:P16" ca="1" si="2">IF(M8&gt;0,N8*100/M8,0)</f>
        <v>59.004696507848713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115399577</v>
      </c>
      <c r="M10" s="30">
        <f t="shared" ca="1" si="4"/>
        <v>66654354.700000003</v>
      </c>
      <c r="N10" s="30">
        <f t="shared" ca="1" si="4"/>
        <v>39329199.699999996</v>
      </c>
      <c r="O10" s="30">
        <f t="shared" ca="1" si="1"/>
        <v>34.080887228902057</v>
      </c>
      <c r="P10" s="30">
        <f t="shared" ca="1" si="2"/>
        <v>59.004696507848713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96513477</v>
      </c>
      <c r="M11" s="38">
        <f t="shared" ca="1" si="5"/>
        <v>48010058.700000003</v>
      </c>
      <c r="N11" s="38">
        <f t="shared" ca="1" si="5"/>
        <v>32196903.699999996</v>
      </c>
      <c r="O11" s="38">
        <f t="shared" ca="1" si="1"/>
        <v>33.360008053590271</v>
      </c>
      <c r="P11" s="38">
        <f t="shared" ca="1" si="2"/>
        <v>67.06282927331641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96513477</v>
      </c>
      <c r="M13" s="45">
        <f t="shared" ca="1" si="7"/>
        <v>48010058.700000003</v>
      </c>
      <c r="N13" s="45">
        <f t="shared" ca="1" si="7"/>
        <v>32196903.699999996</v>
      </c>
      <c r="O13" s="45">
        <f t="shared" ca="1" si="1"/>
        <v>33.360008053590271</v>
      </c>
      <c r="P13" s="45">
        <f t="shared" ca="1" si="2"/>
        <v>67.06282927331641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18886100</v>
      </c>
      <c r="M14" s="38">
        <f t="shared" ca="1" si="8"/>
        <v>18644296</v>
      </c>
      <c r="N14" s="38">
        <f t="shared" ca="1" si="8"/>
        <v>7132296</v>
      </c>
      <c r="O14" s="38">
        <f t="shared" ca="1" si="1"/>
        <v>37.764789977814374</v>
      </c>
      <c r="P14" s="38">
        <f t="shared" ca="1" si="2"/>
        <v>38.254573945833087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18886100</v>
      </c>
      <c r="M16" s="52">
        <f t="shared" ca="1" si="10"/>
        <v>18644296</v>
      </c>
      <c r="N16" s="52">
        <f t="shared" ca="1" si="10"/>
        <v>7132296</v>
      </c>
      <c r="O16" s="52">
        <f t="shared" ca="1" si="1"/>
        <v>37.764789977814374</v>
      </c>
      <c r="P16" s="52">
        <f t="shared" ca="1" si="2"/>
        <v>38.254573945833087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79387498</v>
      </c>
      <c r="M18" s="22">
        <f t="shared" ca="1" si="11"/>
        <v>66654354.700000003</v>
      </c>
      <c r="N18" s="22">
        <f t="shared" ca="1" si="11"/>
        <v>31455400.509999998</v>
      </c>
      <c r="O18" s="22">
        <f t="shared" ref="O18:O26" ca="1" si="12">IF(L18&gt;0,N18*100/L18,0)</f>
        <v>39.622612253128317</v>
      </c>
      <c r="P18" s="22">
        <f t="shared" ref="P18:P26" ca="1" si="13">IF(M18&gt;0,N18*100/M18,0)</f>
        <v>47.191816126006238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79387498</v>
      </c>
      <c r="M20" s="30">
        <f t="shared" ca="1" si="15"/>
        <v>66654354.700000003</v>
      </c>
      <c r="N20" s="30">
        <f t="shared" ca="1" si="15"/>
        <v>31455400.509999998</v>
      </c>
      <c r="O20" s="30">
        <f t="shared" ca="1" si="12"/>
        <v>39.622612253128317</v>
      </c>
      <c r="P20" s="30">
        <f t="shared" ca="1" si="13"/>
        <v>47.191816126006238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60501398</v>
      </c>
      <c r="M21" s="38">
        <f t="shared" ca="1" si="16"/>
        <v>48010058.700000003</v>
      </c>
      <c r="N21" s="38">
        <f t="shared" ca="1" si="16"/>
        <v>24323104.509999998</v>
      </c>
      <c r="O21" s="38">
        <f t="shared" ca="1" si="12"/>
        <v>40.202549551003763</v>
      </c>
      <c r="P21" s="38">
        <f t="shared" ca="1" si="13"/>
        <v>50.662517748598376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60501398</v>
      </c>
      <c r="M23" s="45">
        <f t="shared" ca="1" si="18"/>
        <v>48010058.700000003</v>
      </c>
      <c r="N23" s="45">
        <f t="shared" ca="1" si="18"/>
        <v>24323104.509999998</v>
      </c>
      <c r="O23" s="45">
        <f t="shared" ca="1" si="12"/>
        <v>40.202549551003763</v>
      </c>
      <c r="P23" s="45">
        <f t="shared" ca="1" si="13"/>
        <v>50.662517748598376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18886100</v>
      </c>
      <c r="M24" s="38">
        <f t="shared" ca="1" si="19"/>
        <v>18644296</v>
      </c>
      <c r="N24" s="38">
        <f t="shared" ca="1" si="19"/>
        <v>7132296</v>
      </c>
      <c r="O24" s="38">
        <f t="shared" ca="1" si="12"/>
        <v>37.764789977814374</v>
      </c>
      <c r="P24" s="38">
        <f t="shared" ca="1" si="13"/>
        <v>38.254573945833087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18886100</v>
      </c>
      <c r="M26" s="52">
        <f t="shared" ref="M26:N26" ca="1" si="21">M49+M61+M74+M96+M127+M140+M157+M189+M173+M269+M285+M306+M323+M336+M353+M397+M410</f>
        <v>18644296</v>
      </c>
      <c r="N26" s="52">
        <f t="shared" ca="1" si="21"/>
        <v>7132296</v>
      </c>
      <c r="O26" s="52">
        <f t="shared" ca="1" si="12"/>
        <v>37.764789977814374</v>
      </c>
      <c r="P26" s="52">
        <f t="shared" ca="1" si="13"/>
        <v>38.254573945833087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36012079</v>
      </c>
      <c r="M28" s="22">
        <f t="shared" si="22"/>
        <v>0</v>
      </c>
      <c r="N28" s="22">
        <f t="shared" ca="1" si="22"/>
        <v>7873799.1899999985</v>
      </c>
      <c r="O28" s="22">
        <f t="shared" ref="O28:O37" ca="1" si="23">IF(L28&gt;0,N28*100/L28,0)</f>
        <v>21.864328327170444</v>
      </c>
      <c r="P28" s="22">
        <f t="shared" ref="P28:P31" si="24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36012079</v>
      </c>
      <c r="M30" s="30">
        <f t="shared" si="26"/>
        <v>0</v>
      </c>
      <c r="N30" s="30">
        <f t="shared" ca="1" si="26"/>
        <v>7873799.1899999985</v>
      </c>
      <c r="O30" s="30">
        <f t="shared" ca="1" si="23"/>
        <v>21.864328327170444</v>
      </c>
      <c r="P30" s="30">
        <f t="shared" si="24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36012079</v>
      </c>
      <c r="M31" s="38">
        <f t="shared" si="27"/>
        <v>0</v>
      </c>
      <c r="N31" s="38">
        <f t="shared" ca="1" si="27"/>
        <v>7873799.1899999985</v>
      </c>
      <c r="O31" s="38">
        <f t="shared" ca="1" si="23"/>
        <v>21.864328327170444</v>
      </c>
      <c r="P31" s="38">
        <f t="shared" si="24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36012079</v>
      </c>
      <c r="M33" s="45">
        <f t="shared" si="29"/>
        <v>0</v>
      </c>
      <c r="N33" s="45">
        <f t="shared" ca="1" si="29"/>
        <v>7873799.1899999985</v>
      </c>
      <c r="O33" s="45">
        <f t="shared" ca="1" si="23"/>
        <v>21.864328327170444</v>
      </c>
      <c r="P33" s="45">
        <f t="shared" ref="P33:P37" si="30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79387498</v>
      </c>
      <c r="M37" s="59">
        <f ca="1">M41+M53+M66+M88+M119+M132+M149+M165+M181+M261+M277+M298+M315+M468+M345+M389+M402</f>
        <v>63895404.700000003</v>
      </c>
      <c r="N37" s="59">
        <f ca="1">N41+N53+N66+N88+N119+N132+N149+N165+N181+N261+N277+N298+N315+N328+N345+N389+N402</f>
        <v>31455400.509999998</v>
      </c>
      <c r="O37" s="59">
        <f t="shared" ca="1" si="23"/>
        <v>39.622612253128317</v>
      </c>
      <c r="P37" s="59">
        <f t="shared" ca="1" si="30"/>
        <v>49.229519176987068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9204143</v>
      </c>
      <c r="M41" s="85">
        <f t="shared" ca="1" si="34"/>
        <v>9352743.6999999993</v>
      </c>
      <c r="N41" s="85">
        <f t="shared" ca="1" si="34"/>
        <v>4161272.25</v>
      </c>
      <c r="O41" s="85">
        <f t="shared" ref="O41:O45" ca="1" si="35">IF(L41&gt;0,N41*100/L41,0)</f>
        <v>45.210860478808293</v>
      </c>
      <c r="P41" s="85">
        <f t="shared" ref="P41:P49" ca="1" si="36">IF(M41&gt;0,N41*100/M41,0)</f>
        <v>44.492529502332033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9204143</v>
      </c>
      <c r="M43" s="92">
        <f t="shared" ca="1" si="38"/>
        <v>9352743.6999999993</v>
      </c>
      <c r="N43" s="92">
        <f t="shared" ca="1" si="38"/>
        <v>4161272.25</v>
      </c>
      <c r="O43" s="92">
        <f t="shared" ca="1" si="35"/>
        <v>45.210860478808293</v>
      </c>
      <c r="P43" s="92">
        <f t="shared" ca="1" si="36"/>
        <v>44.492529502332033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9204143</v>
      </c>
      <c r="M44" s="38">
        <f t="shared" ca="1" si="39"/>
        <v>9352743.6999999993</v>
      </c>
      <c r="N44" s="38">
        <f t="shared" ca="1" si="39"/>
        <v>4161272.25</v>
      </c>
      <c r="O44" s="38">
        <f t="shared" ca="1" si="35"/>
        <v>45.210860478808293</v>
      </c>
      <c r="P44" s="38">
        <f t="shared" ca="1" si="36"/>
        <v>44.492529502332033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xicF4apzSqm0-jIpmueT4kyZtE-Cwn5zskl7GD4loQ/edit?usp=share_link"",""กำแพงเพชร!L46"")+IMPORTRANGE(""https://docs.google.com/spreadsheets/d/1ZNYWeiFoFA1K1U4xKWqRX29MBvEyRHXORjo734Gnq_c/edit?usp=share_lin"&amp;"k"",""เชียงราย!L46"")
+IMPORTRANGE(""https://docs.google.com/spreadsheets/d/1Jgv0Y7YlHDtsiDawwp-uvifEJ8HVaSn0k2aGHG8-hwM/edit?usp=share_link"",""เชียงใหม่!L46"")+IMPORTRANGE(""https://docs.google.com/spreadsheets/d/1JWG2rZePOz9pe-f-ObA-yDr0VoOX2kSb0qIix2m"&amp;"TUo8/edit?usp=share_link"",""ตาก!L46"")+IMPORTRANGE(""https://docs.google.com/spreadsheets/d/10nSRjK08hx8Y6HgSOQKNw81lyY46Zc7U_Cj72hBMp9U/edit?usp=share_link"",""นครสวรรค์!L46"")+IMPORTRANGE(""https://docs.google.com/spreadsheets/d/1gFVb7qd7amutrIxAAoM7lc"&amp;"y35hllxznovot8lyOfvDo/edit?usp=share_link"",""น่าน!L46"")+IMPORTRANGE(""https://docs.google.com/spreadsheets/d/1K0Aa9s-6EuHE5M0FG1F9aHLXRCOV917xvycTdLdct0w/edit?usp=share_link"",""พะเยา!L46"")+IMPORTRANGE(""https://docs.google.com/spreadsheets/d/1Y9LPKx95"&amp;"PyL5OKy09d-KbKJSuuEZCFdkhYjwC0XQjBA/edit?usp=share_link"",""พิจิตร!L46"")+IMPORTRANGE(""https://docs.google.com/spreadsheets/d/16OMuOwy2eVqZcYWOouQtTpa8X1L23h4660uVHc0C8os/edit?usp=share_link"",""พิษณุโลก!L46"")+IMPORTRANGE(""https://docs.google.com/sprea"&amp;"dsheets/d/1GfgTldLG6k77HXaMQzaafODklYuucJZQNs_GAPEfZyY/edit?usp=share_link"",""เพชรบูรณ์!L46"")+IMPORTRANGE(""https://docs.google.com/spreadsheets/d/1gvTMYAnm7v1yG1BKWFtr0DnaTsq59oW9dwWvFgq6hs0/edit?usp=share_link"",""แพร่!L46"")+IMPORTRANGE(""https://doc"&amp;"s.google.com/spreadsheets/d/1Wbcosgy-Xa1xXUArJSOenub6EfZHUSzc_bpJFWwQUf0/edit?usp=share_link"",""แม่ฮ่องสอน!L46"")+IMPORTRANGE(""https://docs.google.com/spreadsheets/d/1p7ERhsr0qZeSn-KSOdeHS9r0heI-lHtkcn2OH7hP0jQ/edit?usp=share_link"",""ลำปาง!L46"")+IMPOR"&amp;"TRANGE(""https://docs.google.com/spreadsheets/d/1-uUXvimVhiU2U0bMN-xi2te0tS4X7DI2GLPnMjzl8cA/edit?usp=share_link"",""ลำพูน!L46"")+IMPORTRANGE(""https://docs.google.com/spreadsheets/d/17HrOaa5pBUI1onckFfumXB8xlg35qb2uBAFfF1D-Myo/edit?usp=share_link"",""สุโ"&amp;"ขทัย!L46"")+IMPORTRANGE(""https://docs.google.com/spreadsheets/d/1ubs5cl16eYL9gHbdHTJtmtYb9MGzHBs7CAphn8kNCgM/edit?usp=share_link"",""อุตรดิตถ์!L46"")+IMPORTRANGE(""https://docs.google.com/spreadsheets/d/1kII0BjS6CtVrBvI8IrytgPdxDrlyQDyigzMsohRtDMs/edit?u"&amp;"sp=share_link"",""อุทัยธานี!L46"")
"),9204143)</f>
        <v>9204143</v>
      </c>
      <c r="M46" s="45">
        <f ca="1">IFERROR(__xludf.DUMMYFUNCTION("IMPORTRANGE(""https://docs.google.com/spreadsheets/d/1KxicF4apzSqm0-jIpmueT4kyZtE-Cwn5zskl7GD4loQ/edit?usp=share_link"",""กำแพงเพชร!M46"")+IMPORTRANGE(""https://docs.google.com/spreadsheets/d/1ZNYWeiFoFA1K1U4xKWqRX29MBvEyRHXORjo734Gnq_c/edit?usp=share_lin"&amp;"k"",""เชียงราย!M46"")
+IMPORTRANGE(""https://docs.google.com/spreadsheets/d/1Jgv0Y7YlHDtsiDawwp-uvifEJ8HVaSn0k2aGHG8-hwM/edit?usp=share_link"",""เชียงใหม่!M46"")+IMPORTRANGE(""https://docs.google.com/spreadsheets/d/1JWG2rZePOz9pe-f-ObA-yDr0VoOX2kSb0qIix2m"&amp;"TUo8/edit?usp=share_link"",""ตาก!M46"")+IMPORTRANGE(""https://docs.google.com/spreadsheets/d/10nSRjK08hx8Y6HgSOQKNw81lyY46Zc7U_Cj72hBMp9U/edit?usp=share_link"",""นครสวรรค์!M46"")+IMPORTRANGE(""https://docs.google.com/spreadsheets/d/1gFVb7qd7amutrIxAAoM7lc"&amp;"y35hllxznovot8lyOfvDo/edit?usp=share_link"",""น่าน!M46"")+IMPORTRANGE(""https://docs.google.com/spreadsheets/d/1K0Aa9s-6EuHE5M0FG1F9aHLXRCOV917xvycTdLdct0w/edit?usp=share_link"",""พะเยา!M46"")+IMPORTRANGE(""https://docs.google.com/spreadsheets/d/1Y9LPKx95"&amp;"PyL5OKy09d-KbKJSuuEZCFdkhYjwC0XQjBA/edit?usp=share_link"",""พิจิตร!M46"")+IMPORTRANGE(""https://docs.google.com/spreadsheets/d/16OMuOwy2eVqZcYWOouQtTpa8X1L23h4660uVHc0C8os/edit?usp=share_link"",""พิษณุโลก!M46"")+IMPORTRANGE(""https://docs.google.com/sprea"&amp;"dsheets/d/1GfgTldLG6k77HXaMQzaafODklYuucJZQNs_GAPEfZyY/edit?usp=share_link"",""เพชรบูรณ์!M46"")+IMPORTRANGE(""https://docs.google.com/spreadsheets/d/1gvTMYAnm7v1yG1BKWFtr0DnaTsq59oW9dwWvFgq6hs0/edit?usp=share_link"",""แพร่!M46"")+IMPORTRANGE(""https://doc"&amp;"s.google.com/spreadsheets/d/1Wbcosgy-Xa1xXUArJSOenub6EfZHUSzc_bpJFWwQUf0/edit?usp=share_link"",""แม่ฮ่องสอน!M46"")+IMPORTRANGE(""https://docs.google.com/spreadsheets/d/1p7ERhsr0qZeSn-KSOdeHS9r0heI-lHtkcn2OH7hP0jQ/edit?usp=share_link"",""ลำปาง!M46"")+IMPOR"&amp;"TRANGE(""https://docs.google.com/spreadsheets/d/1-uUXvimVhiU2U0bMN-xi2te0tS4X7DI2GLPnMjzl8cA/edit?usp=share_link"",""ลำพูน!M46"")+IMPORTRANGE(""https://docs.google.com/spreadsheets/d/17HrOaa5pBUI1onckFfumXB8xlg35qb2uBAFfF1D-Myo/edit?usp=share_link"",""สุโ"&amp;"ขทัย!M46"")+IMPORTRANGE(""https://docs.google.com/spreadsheets/d/1ubs5cl16eYL9gHbdHTJtmtYb9MGzHBs7CAphn8kNCgM/edit?usp=share_link"",""อุตรดิตถ์!M46"")+IMPORTRANGE(""https://docs.google.com/spreadsheets/d/1kII0BjS6CtVrBvI8IrytgPdxDrlyQDyigzMsohRtDMs/edit?u"&amp;"sp=share_link"",""อุทัยธานี!M46"")
"),9352743.7)</f>
        <v>9352743.6999999993</v>
      </c>
      <c r="N46" s="45">
        <f ca="1">IFERROR(__xludf.DUMMYFUNCTION("IMPORTRANGE(""https://docs.google.com/spreadsheets/d/1KxicF4apzSqm0-jIpmueT4kyZtE-Cwn5zskl7GD4loQ/edit?usp=share_link"",""กำแพงเพชร!N46"")+IMPORTRANGE(""https://docs.google.com/spreadsheets/d/1ZNYWeiFoFA1K1U4xKWqRX29MBvEyRHXORjo734Gnq_c/edit?usp=share_lin"&amp;"k"",""เชียงราย!N46"")
+IMPORTRANGE(""https://docs.google.com/spreadsheets/d/1Jgv0Y7YlHDtsiDawwp-uvifEJ8HVaSn0k2aGHG8-hwM/edit?usp=share_link"",""เชียงใหม่!N46"")+IMPORTRANGE(""https://docs.google.com/spreadsheets/d/1JWG2rZePOz9pe-f-ObA-yDr0VoOX2kSb0qIix2m"&amp;"TUo8/edit?usp=share_link"",""ตาก!N46"")+IMPORTRANGE(""https://docs.google.com/spreadsheets/d/10nSRjK08hx8Y6HgSOQKNw81lyY46Zc7U_Cj72hBMp9U/edit?usp=share_link"",""นครสวรรค์!N46"")+IMPORTRANGE(""https://docs.google.com/spreadsheets/d/1gFVb7qd7amutrIxAAoM7lc"&amp;"y35hllxznovot8lyOfvDo/edit?usp=share_link"",""น่าน!N46"")+IMPORTRANGE(""https://docs.google.com/spreadsheets/d/1K0Aa9s-6EuHE5M0FG1F9aHLXRCOV917xvycTdLdct0w/edit?usp=share_link"",""พะเยา!N46"")+IMPORTRANGE(""https://docs.google.com/spreadsheets/d/1Y9LPKx95"&amp;"PyL5OKy09d-KbKJSuuEZCFdkhYjwC0XQjBA/edit?usp=share_link"",""พิจิตร!N46"")+IMPORTRANGE(""https://docs.google.com/spreadsheets/d/16OMuOwy2eVqZcYWOouQtTpa8X1L23h4660uVHc0C8os/edit?usp=share_link"",""พิษณุโลก!N46"")+IMPORTRANGE(""https://docs.google.com/sprea"&amp;"dsheets/d/1GfgTldLG6k77HXaMQzaafODklYuucJZQNs_GAPEfZyY/edit?usp=share_link"",""เพชรบูรณ์!N46"")+IMPORTRANGE(""https://docs.google.com/spreadsheets/d/1gvTMYAnm7v1yG1BKWFtr0DnaTsq59oW9dwWvFgq6hs0/edit?usp=share_link"",""แพร่!N46"")+IMPORTRANGE(""https://doc"&amp;"s.google.com/spreadsheets/d/1Wbcosgy-Xa1xXUArJSOenub6EfZHUSzc_bpJFWwQUf0/edit?usp=share_link"",""แม่ฮ่องสอน!N46"")+IMPORTRANGE(""https://docs.google.com/spreadsheets/d/1p7ERhsr0qZeSn-KSOdeHS9r0heI-lHtkcn2OH7hP0jQ/edit?usp=share_link"",""ลำปาง!N46"")+IMPOR"&amp;"TRANGE(""https://docs.google.com/spreadsheets/d/1-uUXvimVhiU2U0bMN-xi2te0tS4X7DI2GLPnMjzl8cA/edit?usp=share_link"",""ลำพูน!N46"")+IMPORTRANGE(""https://docs.google.com/spreadsheets/d/17HrOaa5pBUI1onckFfumXB8xlg35qb2uBAFfF1D-Myo/edit?usp=share_link"",""สุโ"&amp;"ขทัย!N46"")+IMPORTRANGE(""https://docs.google.com/spreadsheets/d/1ubs5cl16eYL9gHbdHTJtmtYb9MGzHBs7CAphn8kNCgM/edit?usp=share_link"",""อุตรดิตถ์!N46"")+IMPORTRANGE(""https://docs.google.com/spreadsheets/d/1kII0BjS6CtVrBvI8IrytgPdxDrlyQDyigzMsohRtDMs/edit?u"&amp;"sp=share_link"",""อุทัยธานี!N46"")
"),4161272.25)</f>
        <v>4161272.25</v>
      </c>
      <c r="O46" s="45">
        <f ca="1">IF(M46&gt;0,N46*100/M46,0)</f>
        <v>44.492529502332033</v>
      </c>
      <c r="P46" s="45">
        <f t="shared" ca="1" si="36"/>
        <v>44.492529502332033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xicF4apzSqm0-jIpmueT4kyZtE-Cwn5zskl7GD4loQ/edit?usp=share_link"",""กำแพงเพชร!L49"")+IMPORTRANGE(""https://docs.google.com/spreadsheets/d/1ZNYWeiFoFA1K1U4xKWqRX29MBvEyRHXORjo734Gnq_c/edit?usp=share_lin"&amp;"k"",""เชียงราย!L49"")
+IMPORTRANGE(""https://docs.google.com/spreadsheets/d/1Jgv0Y7YlHDtsiDawwp-uvifEJ8HVaSn0k2aGHG8-hwM/edit?usp=share_link"",""เชียงใหม่!L49"")+IMPORTRANGE(""https://docs.google.com/spreadsheets/d/1JWG2rZePOz9pe-f-ObA-yDr0VoOX2kSb0qIix2m"&amp;"TUo8/edit?usp=share_link"",""ตาก!L49"")+IMPORTRANGE(""https://docs.google.com/spreadsheets/d/10nSRjK08hx8Y6HgSOQKNw81lyY46Zc7U_Cj72hBMp9U/edit?usp=share_link"",""นครสวรรค์!L49"")+IMPORTRANGE(""https://docs.google.com/spreadsheets/d/1gFVb7qd7amutrIxAAoM7lc"&amp;"y35hllxznovot8lyOfvDo/edit?usp=share_link"",""น่าน!L49"")+IMPORTRANGE(""https://docs.google.com/spreadsheets/d/1K0Aa9s-6EuHE5M0FG1F9aHLXRCOV917xvycTdLdct0w/edit?usp=share_link"",""พะเยา!L49"")+IMPORTRANGE(""https://docs.google.com/spreadsheets/d/1Y9LPKx95"&amp;"PyL5OKy09d-KbKJSuuEZCFdkhYjwC0XQjBA/edit?usp=share_link"",""พิจิตร!L49"")+IMPORTRANGE(""https://docs.google.com/spreadsheets/d/16OMuOwy2eVqZcYWOouQtTpa8X1L23h4660uVHc0C8os/edit?usp=share_link"",""พิษณุโลก!L49"")+IMPORTRANGE(""https://docs.google.com/sprea"&amp;"dsheets/d/1GfgTldLG6k77HXaMQzaafODklYuucJZQNs_GAPEfZyY/edit?usp=share_link"",""เพชรบูรณ์!L49"")+IMPORTRANGE(""https://docs.google.com/spreadsheets/d/1gvTMYAnm7v1yG1BKWFtr0DnaTsq59oW9dwWvFgq6hs0/edit?usp=share_link"",""แพร่!L49"")+IMPORTRANGE(""https://doc"&amp;"s.google.com/spreadsheets/d/1Wbcosgy-Xa1xXUArJSOenub6EfZHUSzc_bpJFWwQUf0/edit?usp=share_link"",""แม่ฮ่องสอน!L49"")+IMPORTRANGE(""https://docs.google.com/spreadsheets/d/1p7ERhsr0qZeSn-KSOdeHS9r0heI-lHtkcn2OH7hP0jQ/edit?usp=share_link"",""ลำปาง!L49"")+IMPOR"&amp;"TRANGE(""https://docs.google.com/spreadsheets/d/1-uUXvimVhiU2U0bMN-xi2te0tS4X7DI2GLPnMjzl8cA/edit?usp=share_link"",""ลำพูน!L49"")+IMPORTRANGE(""https://docs.google.com/spreadsheets/d/17HrOaa5pBUI1onckFfumXB8xlg35qb2uBAFfF1D-Myo/edit?usp=share_link"",""สุโ"&amp;"ขทัย!L49"")+IMPORTRANGE(""https://docs.google.com/spreadsheets/d/1ubs5cl16eYL9gHbdHTJtmtYb9MGzHBs7CAphn8kNCgM/edit?usp=share_link"",""อุตรดิตถ์!L49"")+IMPORTRANGE(""https://docs.google.com/spreadsheets/d/1kII0BjS6CtVrBvI8IrytgPdxDrlyQDyigzMsohRtDMs/edit?u"&amp;"sp=share_link"",""อุทัยธานี!L49"")
"),0)</f>
        <v>0</v>
      </c>
      <c r="M49" s="52">
        <f ca="1">IFERROR(__xludf.DUMMYFUNCTION("IMPORTRANGE(""https://docs.google.com/spreadsheets/d/1KxicF4apzSqm0-jIpmueT4kyZtE-Cwn5zskl7GD4loQ/edit?usp=share_link"",""กำแพงเพชร!M49"")+IMPORTRANGE(""https://docs.google.com/spreadsheets/d/1ZNYWeiFoFA1K1U4xKWqRX29MBvEyRHXORjo734Gnq_c/edit?usp=share_lin"&amp;"k"",""เชียงราย!M49"")
+IMPORTRANGE(""https://docs.google.com/spreadsheets/d/1Jgv0Y7YlHDtsiDawwp-uvifEJ8HVaSn0k2aGHG8-hwM/edit?usp=share_link"",""เชียงใหม่!M49"")+IMPORTRANGE(""https://docs.google.com/spreadsheets/d/1JWG2rZePOz9pe-f-ObA-yDr0VoOX2kSb0qIix2m"&amp;"TUo8/edit?usp=share_link"",""ตาก!M49"")+IMPORTRANGE(""https://docs.google.com/spreadsheets/d/10nSRjK08hx8Y6HgSOQKNw81lyY46Zc7U_Cj72hBMp9U/edit?usp=share_link"",""นครสวรรค์!M49"")+IMPORTRANGE(""https://docs.google.com/spreadsheets/d/1gFVb7qd7amutrIxAAoM7lc"&amp;"y35hllxznovot8lyOfvDo/edit?usp=share_link"",""น่าน!M49"")+IMPORTRANGE(""https://docs.google.com/spreadsheets/d/1K0Aa9s-6EuHE5M0FG1F9aHLXRCOV917xvycTdLdct0w/edit?usp=share_link"",""พะเยา!M49"")+IMPORTRANGE(""https://docs.google.com/spreadsheets/d/1Y9LPKx95"&amp;"PyL5OKy09d-KbKJSuuEZCFdkhYjwC0XQjBA/edit?usp=share_link"",""พิจิตร!M49"")+IMPORTRANGE(""https://docs.google.com/spreadsheets/d/16OMuOwy2eVqZcYWOouQtTpa8X1L23h4660uVHc0C8os/edit?usp=share_link"",""พิษณุโลก!M49"")+IMPORTRANGE(""https://docs.google.com/sprea"&amp;"dsheets/d/1GfgTldLG6k77HXaMQzaafODklYuucJZQNs_GAPEfZyY/edit?usp=share_link"",""เพชรบูรณ์!M49"")+IMPORTRANGE(""https://docs.google.com/spreadsheets/d/1gvTMYAnm7v1yG1BKWFtr0DnaTsq59oW9dwWvFgq6hs0/edit?usp=share_link"",""แพร่!M49"")+IMPORTRANGE(""https://doc"&amp;"s.google.com/spreadsheets/d/1Wbcosgy-Xa1xXUArJSOenub6EfZHUSzc_bpJFWwQUf0/edit?usp=share_link"",""แม่ฮ่องสอน!M49"")+IMPORTRANGE(""https://docs.google.com/spreadsheets/d/1p7ERhsr0qZeSn-KSOdeHS9r0heI-lHtkcn2OH7hP0jQ/edit?usp=share_link"",""ลำปาง!M49"")+IMPOR"&amp;"TRANGE(""https://docs.google.com/spreadsheets/d/1-uUXvimVhiU2U0bMN-xi2te0tS4X7DI2GLPnMjzl8cA/edit?usp=share_link"",""ลำพูน!M49"")+IMPORTRANGE(""https://docs.google.com/spreadsheets/d/17HrOaa5pBUI1onckFfumXB8xlg35qb2uBAFfF1D-Myo/edit?usp=share_link"",""สุโ"&amp;"ขทัย!M49"")+IMPORTRANGE(""https://docs.google.com/spreadsheets/d/1ubs5cl16eYL9gHbdHTJtmtYb9MGzHBs7CAphn8kNCgM/edit?usp=share_link"",""อุตรดิตถ์!M49"")+IMPORTRANGE(""https://docs.google.com/spreadsheets/d/1kII0BjS6CtVrBvI8IrytgPdxDrlyQDyigzMsohRtDMs/edit?u"&amp;"sp=share_link"",""อุทัยธานี!M49"")
"),0)</f>
        <v>0</v>
      </c>
      <c r="N49" s="52">
        <f ca="1">IFERROR(__xludf.DUMMYFUNCTION("IMPORTRANGE(""https://docs.google.com/spreadsheets/d/1KxicF4apzSqm0-jIpmueT4kyZtE-Cwn5zskl7GD4loQ/edit?usp=share_link"",""กำแพงเพชร!N49"")+IMPORTRANGE(""https://docs.google.com/spreadsheets/d/1ZNYWeiFoFA1K1U4xKWqRX29MBvEyRHXORjo734Gnq_c/edit?usp=share_lin"&amp;"k"",""เชียงราย!N49"")
+IMPORTRANGE(""https://docs.google.com/spreadsheets/d/1Jgv0Y7YlHDtsiDawwp-uvifEJ8HVaSn0k2aGHG8-hwM/edit?usp=share_link"",""เชียงใหม่!N49"")+IMPORTRANGE(""https://docs.google.com/spreadsheets/d/1JWG2rZePOz9pe-f-ObA-yDr0VoOX2kSb0qIix2m"&amp;"TUo8/edit?usp=share_link"",""ตาก!N49"")+IMPORTRANGE(""https://docs.google.com/spreadsheets/d/10nSRjK08hx8Y6HgSOQKNw81lyY46Zc7U_Cj72hBMp9U/edit?usp=share_link"",""นครสวรรค์!N49"")+IMPORTRANGE(""https://docs.google.com/spreadsheets/d/1gFVb7qd7amutrIxAAoM7lc"&amp;"y35hllxznovot8lyOfvDo/edit?usp=share_link"",""น่าน!N49"")+IMPORTRANGE(""https://docs.google.com/spreadsheets/d/1K0Aa9s-6EuHE5M0FG1F9aHLXRCOV917xvycTdLdct0w/edit?usp=share_link"",""พะเยา!N49"")+IMPORTRANGE(""https://docs.google.com/spreadsheets/d/1Y9LPKx95"&amp;"PyL5OKy09d-KbKJSuuEZCFdkhYjwC0XQjBA/edit?usp=share_link"",""พิจิตร!N49"")+IMPORTRANGE(""https://docs.google.com/spreadsheets/d/16OMuOwy2eVqZcYWOouQtTpa8X1L23h4660uVHc0C8os/edit?usp=share_link"",""พิษณุโลก!N49"")+IMPORTRANGE(""https://docs.google.com/sprea"&amp;"dsheets/d/1GfgTldLG6k77HXaMQzaafODklYuucJZQNs_GAPEfZyY/edit?usp=share_link"",""เพชรบูรณ์!N49"")+IMPORTRANGE(""https://docs.google.com/spreadsheets/d/1gvTMYAnm7v1yG1BKWFtr0DnaTsq59oW9dwWvFgq6hs0/edit?usp=share_link"",""แพร่!N49"")+IMPORTRANGE(""https://doc"&amp;"s.google.com/spreadsheets/d/1Wbcosgy-Xa1xXUArJSOenub6EfZHUSzc_bpJFWwQUf0/edit?usp=share_link"",""แม่ฮ่องสอน!N49"")+IMPORTRANGE(""https://docs.google.com/spreadsheets/d/1p7ERhsr0qZeSn-KSOdeHS9r0heI-lHtkcn2OH7hP0jQ/edit?usp=share_link"",""ลำปาง!N49"")+IMPOR"&amp;"TRANGE(""https://docs.google.com/spreadsheets/d/1-uUXvimVhiU2U0bMN-xi2te0tS4X7DI2GLPnMjzl8cA/edit?usp=share_link"",""ลำพูน!N49"")+IMPORTRANGE(""https://docs.google.com/spreadsheets/d/17HrOaa5pBUI1onckFfumXB8xlg35qb2uBAFfF1D-Myo/edit?usp=share_link"",""สุโ"&amp;"ขทัย!N49"")+IMPORTRANGE(""https://docs.google.com/spreadsheets/d/1ubs5cl16eYL9gHbdHTJtmtYb9MGzHBs7CAphn8kNCgM/edit?usp=share_link"",""อุตรดิตถ์!N49"")+IMPORTRANGE(""https://docs.google.com/spreadsheets/d/1kII0BjS6CtVrBvI8IrytgPdxDrlyQDyigzMsohRtDMs/edit?u"&amp;"sp=share_link"",""อุทัยธานี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26653800</v>
      </c>
      <c r="M53" s="116">
        <f t="shared" ca="1" si="42"/>
        <v>23511911</v>
      </c>
      <c r="N53" s="116">
        <f t="shared" ca="1" si="42"/>
        <v>8411175.0899999999</v>
      </c>
      <c r="O53" s="116">
        <f t="shared" ref="O53:O61" ca="1" si="43">IF(L53&gt;0,N53*100/L53,0)</f>
        <v>31.557132904126242</v>
      </c>
      <c r="P53" s="116">
        <f t="shared" ref="P53:P61" ca="1" si="44">IF(M53&gt;0,N53*100/M53,0)</f>
        <v>35.77410228373185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26653800</v>
      </c>
      <c r="M55" s="123">
        <f t="shared" ca="1" si="46"/>
        <v>23511911</v>
      </c>
      <c r="N55" s="123">
        <f t="shared" ca="1" si="46"/>
        <v>8411175.0899999999</v>
      </c>
      <c r="O55" s="123">
        <f t="shared" ca="1" si="43"/>
        <v>31.557132904126242</v>
      </c>
      <c r="P55" s="123">
        <f t="shared" ca="1" si="44"/>
        <v>35.77410228373185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12823100</v>
      </c>
      <c r="M56" s="38">
        <f t="shared" ca="1" si="47"/>
        <v>9705745</v>
      </c>
      <c r="N56" s="38">
        <f t="shared" ca="1" si="47"/>
        <v>6111009.0899999999</v>
      </c>
      <c r="O56" s="38">
        <f t="shared" ca="1" si="43"/>
        <v>47.656253869969042</v>
      </c>
      <c r="P56" s="38">
        <f t="shared" ca="1" si="44"/>
        <v>62.962802855422225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xicF4apzSqm0-jIpmueT4kyZtE-Cwn5zskl7GD4loQ/edit?usp=share_link"",""กำแพงเพชร!L58"")+IMPORTRANGE(""https://docs.google.com/spreadsheets/d/1ZNYWeiFoFA1K1U4xKWqRX29MBvEyRHXORjo734Gnq_c/edit?usp=share_lin"&amp;"k"",""เชียงราย!L58"")
+IMPORTRANGE(""https://docs.google.com/spreadsheets/d/1Jgv0Y7YlHDtsiDawwp-uvifEJ8HVaSn0k2aGHG8-hwM/edit?usp=share_link"",""เชียงใหม่!L58"")+IMPORTRANGE(""https://docs.google.com/spreadsheets/d/1JWG2rZePOz9pe-f-ObA-yDr0VoOX2kSb0qIix2m"&amp;"TUo8/edit?usp=share_link"",""ตาก!L58"")+IMPORTRANGE(""https://docs.google.com/spreadsheets/d/10nSRjK08hx8Y6HgSOQKNw81lyY46Zc7U_Cj72hBMp9U/edit?usp=share_link"",""นครสวรรค์!L58"")+IMPORTRANGE(""https://docs.google.com/spreadsheets/d/1gFVb7qd7amutrIxAAoM7lc"&amp;"y35hllxznovot8lyOfvDo/edit?usp=share_link"",""น่าน!L58"")+IMPORTRANGE(""https://docs.google.com/spreadsheets/d/1K0Aa9s-6EuHE5M0FG1F9aHLXRCOV917xvycTdLdct0w/edit?usp=share_link"",""พะเยา!L58"")+IMPORTRANGE(""https://docs.google.com/spreadsheets/d/1Y9LPKx95"&amp;"PyL5OKy09d-KbKJSuuEZCFdkhYjwC0XQjBA/edit?usp=share_link"",""พิจิตร!L58"")+IMPORTRANGE(""https://docs.google.com/spreadsheets/d/16OMuOwy2eVqZcYWOouQtTpa8X1L23h4660uVHc0C8os/edit?usp=share_link"",""พิษณุโลก!L58"")+IMPORTRANGE(""https://docs.google.com/sprea"&amp;"dsheets/d/1GfgTldLG6k77HXaMQzaafODklYuucJZQNs_GAPEfZyY/edit?usp=share_link"",""เพชรบูรณ์!L58"")+IMPORTRANGE(""https://docs.google.com/spreadsheets/d/1gvTMYAnm7v1yG1BKWFtr0DnaTsq59oW9dwWvFgq6hs0/edit?usp=share_link"",""แพร่!L58"")+IMPORTRANGE(""https://doc"&amp;"s.google.com/spreadsheets/d/1Wbcosgy-Xa1xXUArJSOenub6EfZHUSzc_bpJFWwQUf0/edit?usp=share_link"",""แม่ฮ่องสอน!L58"")+IMPORTRANGE(""https://docs.google.com/spreadsheets/d/1p7ERhsr0qZeSn-KSOdeHS9r0heI-lHtkcn2OH7hP0jQ/edit?usp=share_link"",""ลำปาง!L58"")+IMPOR"&amp;"TRANGE(""https://docs.google.com/spreadsheets/d/1-uUXvimVhiU2U0bMN-xi2te0tS4X7DI2GLPnMjzl8cA/edit?usp=share_link"",""ลำพูน!L58"")+IMPORTRANGE(""https://docs.google.com/spreadsheets/d/17HrOaa5pBUI1onckFfumXB8xlg35qb2uBAFfF1D-Myo/edit?usp=share_link"",""สุโ"&amp;"ขทัย!L58"")+IMPORTRANGE(""https://docs.google.com/spreadsheets/d/1ubs5cl16eYL9gHbdHTJtmtYb9MGzHBs7CAphn8kNCgM/edit?usp=share_link"",""อุตรดิตถ์!L58"")+IMPORTRANGE(""https://docs.google.com/spreadsheets/d/1kII0BjS6CtVrBvI8IrytgPdxDrlyQDyigzMsohRtDMs/edit?u"&amp;"sp=share_link"",""อุทัยธานี!L58"")
"),12823100)</f>
        <v>12823100</v>
      </c>
      <c r="M58" s="45">
        <f ca="1">IFERROR(__xludf.DUMMYFUNCTION("IMPORTRANGE(""https://docs.google.com/spreadsheets/d/1KxicF4apzSqm0-jIpmueT4kyZtE-Cwn5zskl7GD4loQ/edit?usp=share_link"",""กำแพงเพชร!M58"")+IMPORTRANGE(""https://docs.google.com/spreadsheets/d/1ZNYWeiFoFA1K1U4xKWqRX29MBvEyRHXORjo734Gnq_c/edit?usp=share_lin"&amp;"k"",""เชียงราย!M58"")
+IMPORTRANGE(""https://docs.google.com/spreadsheets/d/1Jgv0Y7YlHDtsiDawwp-uvifEJ8HVaSn0k2aGHG8-hwM/edit?usp=share_link"",""เชียงใหม่!M58"")+IMPORTRANGE(""https://docs.google.com/spreadsheets/d/1JWG2rZePOz9pe-f-ObA-yDr0VoOX2kSb0qIix2m"&amp;"TUo8/edit?usp=share_link"",""ตาก!M58"")+IMPORTRANGE(""https://docs.google.com/spreadsheets/d/10nSRjK08hx8Y6HgSOQKNw81lyY46Zc7U_Cj72hBMp9U/edit?usp=share_link"",""นครสวรรค์!M58"")+IMPORTRANGE(""https://docs.google.com/spreadsheets/d/1gFVb7qd7amutrIxAAoM7lc"&amp;"y35hllxznovot8lyOfvDo/edit?usp=share_link"",""น่าน!M58"")+IMPORTRANGE(""https://docs.google.com/spreadsheets/d/1K0Aa9s-6EuHE5M0FG1F9aHLXRCOV917xvycTdLdct0w/edit?usp=share_link"",""พะเยา!M58"")+IMPORTRANGE(""https://docs.google.com/spreadsheets/d/1Y9LPKx95"&amp;"PyL5OKy09d-KbKJSuuEZCFdkhYjwC0XQjBA/edit?usp=share_link"",""พิจิตร!M58"")+IMPORTRANGE(""https://docs.google.com/spreadsheets/d/16OMuOwy2eVqZcYWOouQtTpa8X1L23h4660uVHc0C8os/edit?usp=share_link"",""พิษณุโลก!M58"")+IMPORTRANGE(""https://docs.google.com/sprea"&amp;"dsheets/d/1GfgTldLG6k77HXaMQzaafODklYuucJZQNs_GAPEfZyY/edit?usp=share_link"",""เพชรบูรณ์!M58"")+IMPORTRANGE(""https://docs.google.com/spreadsheets/d/1gvTMYAnm7v1yG1BKWFtr0DnaTsq59oW9dwWvFgq6hs0/edit?usp=share_link"",""แพร่!M58"")+IMPORTRANGE(""https://doc"&amp;"s.google.com/spreadsheets/d/1Wbcosgy-Xa1xXUArJSOenub6EfZHUSzc_bpJFWwQUf0/edit?usp=share_link"",""แม่ฮ่องสอน!M58"")+IMPORTRANGE(""https://docs.google.com/spreadsheets/d/1p7ERhsr0qZeSn-KSOdeHS9r0heI-lHtkcn2OH7hP0jQ/edit?usp=share_link"",""ลำปาง!M58"")+IMPOR"&amp;"TRANGE(""https://docs.google.com/spreadsheets/d/1-uUXvimVhiU2U0bMN-xi2te0tS4X7DI2GLPnMjzl8cA/edit?usp=share_link"",""ลำพูน!M58"")+IMPORTRANGE(""https://docs.google.com/spreadsheets/d/17HrOaa5pBUI1onckFfumXB8xlg35qb2uBAFfF1D-Myo/edit?usp=share_link"",""สุโ"&amp;"ขทัย!M58"")+IMPORTRANGE(""https://docs.google.com/spreadsheets/d/1ubs5cl16eYL9gHbdHTJtmtYb9MGzHBs7CAphn8kNCgM/edit?usp=share_link"",""อุตรดิตถ์!M58"")+IMPORTRANGE(""https://docs.google.com/spreadsheets/d/1kII0BjS6CtVrBvI8IrytgPdxDrlyQDyigzMsohRtDMs/edit?u"&amp;"sp=share_link"",""อุทัยธานี!M58"")
"),9705745)</f>
        <v>9705745</v>
      </c>
      <c r="N58" s="45">
        <f ca="1">IFERROR(__xludf.DUMMYFUNCTION("IMPORTRANGE(""https://docs.google.com/spreadsheets/d/1KxicF4apzSqm0-jIpmueT4kyZtE-Cwn5zskl7GD4loQ/edit?usp=share_link"",""กำแพงเพชร!N58"")+IMPORTRANGE(""https://docs.google.com/spreadsheets/d/1ZNYWeiFoFA1K1U4xKWqRX29MBvEyRHXORjo734Gnq_c/edit?usp=share_lin"&amp;"k"",""เชียงราย!N58"")
+IMPORTRANGE(""https://docs.google.com/spreadsheets/d/1Jgv0Y7YlHDtsiDawwp-uvifEJ8HVaSn0k2aGHG8-hwM/edit?usp=share_link"",""เชียงใหม่!N58"")+IMPORTRANGE(""https://docs.google.com/spreadsheets/d/1JWG2rZePOz9pe-f-ObA-yDr0VoOX2kSb0qIix2m"&amp;"TUo8/edit?usp=share_link"",""ตาก!N58"")+IMPORTRANGE(""https://docs.google.com/spreadsheets/d/10nSRjK08hx8Y6HgSOQKNw81lyY46Zc7U_Cj72hBMp9U/edit?usp=share_link"",""นครสวรรค์!N58"")+IMPORTRANGE(""https://docs.google.com/spreadsheets/d/1gFVb7qd7amutrIxAAoM7lc"&amp;"y35hllxznovot8lyOfvDo/edit?usp=share_link"",""น่าน!N58"")+IMPORTRANGE(""https://docs.google.com/spreadsheets/d/1K0Aa9s-6EuHE5M0FG1F9aHLXRCOV917xvycTdLdct0w/edit?usp=share_link"",""พะเยา!N58"")+IMPORTRANGE(""https://docs.google.com/spreadsheets/d/1Y9LPKx95"&amp;"PyL5OKy09d-KbKJSuuEZCFdkhYjwC0XQjBA/edit?usp=share_link"",""พิจิตร!N58"")+IMPORTRANGE(""https://docs.google.com/spreadsheets/d/16OMuOwy2eVqZcYWOouQtTpa8X1L23h4660uVHc0C8os/edit?usp=share_link"",""พิษณุโลก!N58"")+IMPORTRANGE(""https://docs.google.com/sprea"&amp;"dsheets/d/1GfgTldLG6k77HXaMQzaafODklYuucJZQNs_GAPEfZyY/edit?usp=share_link"",""เพชรบูรณ์!N58"")+IMPORTRANGE(""https://docs.google.com/spreadsheets/d/1gvTMYAnm7v1yG1BKWFtr0DnaTsq59oW9dwWvFgq6hs0/edit?usp=share_link"",""แพร่!N58"")+IMPORTRANGE(""https://doc"&amp;"s.google.com/spreadsheets/d/1Wbcosgy-Xa1xXUArJSOenub6EfZHUSzc_bpJFWwQUf0/edit?usp=share_link"",""แม่ฮ่องสอน!N58"")+IMPORTRANGE(""https://docs.google.com/spreadsheets/d/1p7ERhsr0qZeSn-KSOdeHS9r0heI-lHtkcn2OH7hP0jQ/edit?usp=share_link"",""ลำปาง!N58"")+IMPOR"&amp;"TRANGE(""https://docs.google.com/spreadsheets/d/1-uUXvimVhiU2U0bMN-xi2te0tS4X7DI2GLPnMjzl8cA/edit?usp=share_link"",""ลำพูน!N58"")+IMPORTRANGE(""https://docs.google.com/spreadsheets/d/17HrOaa5pBUI1onckFfumXB8xlg35qb2uBAFfF1D-Myo/edit?usp=share_link"",""สุโ"&amp;"ขทัย!N58"")+IMPORTRANGE(""https://docs.google.com/spreadsheets/d/1ubs5cl16eYL9gHbdHTJtmtYb9MGzHBs7CAphn8kNCgM/edit?usp=share_link"",""อุตรดิตถ์!N58"")+IMPORTRANGE(""https://docs.google.com/spreadsheets/d/1kII0BjS6CtVrBvI8IrytgPdxDrlyQDyigzMsohRtDMs/edit?u"&amp;"sp=share_link"",""อุทัยธานี!N58"")
"),6111009.09)</f>
        <v>6111009.0899999999</v>
      </c>
      <c r="O58" s="45">
        <f t="shared" ca="1" si="43"/>
        <v>47.656253869969042</v>
      </c>
      <c r="P58" s="45">
        <f t="shared" ca="1" si="44"/>
        <v>62.962802855422225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13830700</v>
      </c>
      <c r="M59" s="38">
        <f t="shared" ca="1" si="48"/>
        <v>13806166</v>
      </c>
      <c r="N59" s="38">
        <f t="shared" ca="1" si="48"/>
        <v>2300166</v>
      </c>
      <c r="O59" s="38">
        <f t="shared" ca="1" si="43"/>
        <v>16.630871900916077</v>
      </c>
      <c r="P59" s="38">
        <f t="shared" ca="1" si="44"/>
        <v>16.660425493942345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xicF4apzSqm0-jIpmueT4kyZtE-Cwn5zskl7GD4loQ/edit?usp=share_link"",""กำแพงเพชร!L61"")+IMPORTRANGE(""https://docs.google.com/spreadsheets/d/1ZNYWeiFoFA1K1U4xKWqRX29MBvEyRHXORjo734Gnq_c/edit?usp=share_lin"&amp;"k"",""เชียงราย!L61"")
+IMPORTRANGE(""https://docs.google.com/spreadsheets/d/1Jgv0Y7YlHDtsiDawwp-uvifEJ8HVaSn0k2aGHG8-hwM/edit?usp=share_link"",""เชียงใหม่!L61"")+IMPORTRANGE(""https://docs.google.com/spreadsheets/d/1JWG2rZePOz9pe-f-ObA-yDr0VoOX2kSb0qIix2m"&amp;"TUo8/edit?usp=share_link"",""ตาก!L61"")+IMPORTRANGE(""https://docs.google.com/spreadsheets/d/10nSRjK08hx8Y6HgSOQKNw81lyY46Zc7U_Cj72hBMp9U/edit?usp=share_link"",""นครสวรรค์!L61"")+IMPORTRANGE(""https://docs.google.com/spreadsheets/d/1gFVb7qd7amutrIxAAoM7lc"&amp;"y35hllxznovot8lyOfvDo/edit?usp=share_link"",""น่าน!L61"")+IMPORTRANGE(""https://docs.google.com/spreadsheets/d/1K0Aa9s-6EuHE5M0FG1F9aHLXRCOV917xvycTdLdct0w/edit?usp=share_link"",""พะเยา!L61"")+IMPORTRANGE(""https://docs.google.com/spreadsheets/d/1Y9LPKx95"&amp;"PyL5OKy09d-KbKJSuuEZCFdkhYjwC0XQjBA/edit?usp=share_link"",""พิจิตร!L61"")+IMPORTRANGE(""https://docs.google.com/spreadsheets/d/16OMuOwy2eVqZcYWOouQtTpa8X1L23h4660uVHc0C8os/edit?usp=share_link"",""พิษณุโลก!L61"")+IMPORTRANGE(""https://docs.google.com/sprea"&amp;"dsheets/d/1GfgTldLG6k77HXaMQzaafODklYuucJZQNs_GAPEfZyY/edit?usp=share_link"",""เพชรบูรณ์!L61"")+IMPORTRANGE(""https://docs.google.com/spreadsheets/d/1gvTMYAnm7v1yG1BKWFtr0DnaTsq59oW9dwWvFgq6hs0/edit?usp=share_link"",""แพร่!L61"")+IMPORTRANGE(""https://doc"&amp;"s.google.com/spreadsheets/d/1Wbcosgy-Xa1xXUArJSOenub6EfZHUSzc_bpJFWwQUf0/edit?usp=share_link"",""แม่ฮ่องสอน!L61"")+IMPORTRANGE(""https://docs.google.com/spreadsheets/d/1p7ERhsr0qZeSn-KSOdeHS9r0heI-lHtkcn2OH7hP0jQ/edit?usp=share_link"",""ลำปาง!L61"")+IMPOR"&amp;"TRANGE(""https://docs.google.com/spreadsheets/d/1-uUXvimVhiU2U0bMN-xi2te0tS4X7DI2GLPnMjzl8cA/edit?usp=share_link"",""ลำพูน!L61"")+IMPORTRANGE(""https://docs.google.com/spreadsheets/d/17HrOaa5pBUI1onckFfumXB8xlg35qb2uBAFfF1D-Myo/edit?usp=share_link"",""สุโ"&amp;"ขทัย!L61"")+IMPORTRANGE(""https://docs.google.com/spreadsheets/d/1ubs5cl16eYL9gHbdHTJtmtYb9MGzHBs7CAphn8kNCgM/edit?usp=share_link"",""อุตรดิตถ์!L61"")+IMPORTRANGE(""https://docs.google.com/spreadsheets/d/1kII0BjS6CtVrBvI8IrytgPdxDrlyQDyigzMsohRtDMs/edit?u"&amp;"sp=share_link"",""อุทัยธานี!L61"")
"),13830700)</f>
        <v>13830700</v>
      </c>
      <c r="M61" s="52">
        <f ca="1">IFERROR(__xludf.DUMMYFUNCTION("IMPORTRANGE(""https://docs.google.com/spreadsheets/d/1KxicF4apzSqm0-jIpmueT4kyZtE-Cwn5zskl7GD4loQ/edit?usp=share_link"",""กำแพงเพชร!M61"")+IMPORTRANGE(""https://docs.google.com/spreadsheets/d/1ZNYWeiFoFA1K1U4xKWqRX29MBvEyRHXORjo734Gnq_c/edit?usp=share_lin"&amp;"k"",""เชียงราย!M61"")
+IMPORTRANGE(""https://docs.google.com/spreadsheets/d/1Jgv0Y7YlHDtsiDawwp-uvifEJ8HVaSn0k2aGHG8-hwM/edit?usp=share_link"",""เชียงใหม่!M61"")+IMPORTRANGE(""https://docs.google.com/spreadsheets/d/1JWG2rZePOz9pe-f-ObA-yDr0VoOX2kSb0qIix2m"&amp;"TUo8/edit?usp=share_link"",""ตาก!M61"")+IMPORTRANGE(""https://docs.google.com/spreadsheets/d/10nSRjK08hx8Y6HgSOQKNw81lyY46Zc7U_Cj72hBMp9U/edit?usp=share_link"",""นครสวรรค์!M61"")+IMPORTRANGE(""https://docs.google.com/spreadsheets/d/1gFVb7qd7amutrIxAAoM7lc"&amp;"y35hllxznovot8lyOfvDo/edit?usp=share_link"",""น่าน!M61"")+IMPORTRANGE(""https://docs.google.com/spreadsheets/d/1K0Aa9s-6EuHE5M0FG1F9aHLXRCOV917xvycTdLdct0w/edit?usp=share_link"",""พะเยา!M61"")+IMPORTRANGE(""https://docs.google.com/spreadsheets/d/1Y9LPKx95"&amp;"PyL5OKy09d-KbKJSuuEZCFdkhYjwC0XQjBA/edit?usp=share_link"",""พิจิตร!M61"")+IMPORTRANGE(""https://docs.google.com/spreadsheets/d/16OMuOwy2eVqZcYWOouQtTpa8X1L23h4660uVHc0C8os/edit?usp=share_link"",""พิษณุโลก!M61"")+IMPORTRANGE(""https://docs.google.com/sprea"&amp;"dsheets/d/1GfgTldLG6k77HXaMQzaafODklYuucJZQNs_GAPEfZyY/edit?usp=share_link"",""เพชรบูรณ์!M61"")+IMPORTRANGE(""https://docs.google.com/spreadsheets/d/1gvTMYAnm7v1yG1BKWFtr0DnaTsq59oW9dwWvFgq6hs0/edit?usp=share_link"",""แพร่!M61"")+IMPORTRANGE(""https://doc"&amp;"s.google.com/spreadsheets/d/1Wbcosgy-Xa1xXUArJSOenub6EfZHUSzc_bpJFWwQUf0/edit?usp=share_link"",""แม่ฮ่องสอน!M61"")+IMPORTRANGE(""https://docs.google.com/spreadsheets/d/1p7ERhsr0qZeSn-KSOdeHS9r0heI-lHtkcn2OH7hP0jQ/edit?usp=share_link"",""ลำปาง!M61"")+IMPOR"&amp;"TRANGE(""https://docs.google.com/spreadsheets/d/1-uUXvimVhiU2U0bMN-xi2te0tS4X7DI2GLPnMjzl8cA/edit?usp=share_link"",""ลำพูน!M61"")+IMPORTRANGE(""https://docs.google.com/spreadsheets/d/17HrOaa5pBUI1onckFfumXB8xlg35qb2uBAFfF1D-Myo/edit?usp=share_link"",""สุโ"&amp;"ขทัย!M61"")+IMPORTRANGE(""https://docs.google.com/spreadsheets/d/1ubs5cl16eYL9gHbdHTJtmtYb9MGzHBs7CAphn8kNCgM/edit?usp=share_link"",""อุตรดิตถ์!M61"")+IMPORTRANGE(""https://docs.google.com/spreadsheets/d/1kII0BjS6CtVrBvI8IrytgPdxDrlyQDyigzMsohRtDMs/edit?u"&amp;"sp=share_link"",""อุทัยธานี!M61"")
"),13806166)</f>
        <v>13806166</v>
      </c>
      <c r="N61" s="52">
        <f ca="1">IFERROR(__xludf.DUMMYFUNCTION("IMPORTRANGE(""https://docs.google.com/spreadsheets/d/1KxicF4apzSqm0-jIpmueT4kyZtE-Cwn5zskl7GD4loQ/edit?usp=share_link"",""กำแพงเพชร!N61"")+IMPORTRANGE(""https://docs.google.com/spreadsheets/d/1ZNYWeiFoFA1K1U4xKWqRX29MBvEyRHXORjo734Gnq_c/edit?usp=share_lin"&amp;"k"",""เชียงราย!N61"")
+IMPORTRANGE(""https://docs.google.com/spreadsheets/d/1Jgv0Y7YlHDtsiDawwp-uvifEJ8HVaSn0k2aGHG8-hwM/edit?usp=share_link"",""เชียงใหม่!N61"")+IMPORTRANGE(""https://docs.google.com/spreadsheets/d/1JWG2rZePOz9pe-f-ObA-yDr0VoOX2kSb0qIix2m"&amp;"TUo8/edit?usp=share_link"",""ตาก!N61"")+IMPORTRANGE(""https://docs.google.com/spreadsheets/d/10nSRjK08hx8Y6HgSOQKNw81lyY46Zc7U_Cj72hBMp9U/edit?usp=share_link"",""นครสวรรค์!N61"")+IMPORTRANGE(""https://docs.google.com/spreadsheets/d/1gFVb7qd7amutrIxAAoM7lc"&amp;"y35hllxznovot8lyOfvDo/edit?usp=share_link"",""น่าน!N61"")+IMPORTRANGE(""https://docs.google.com/spreadsheets/d/1K0Aa9s-6EuHE5M0FG1F9aHLXRCOV917xvycTdLdct0w/edit?usp=share_link"",""พะเยา!N61"")+IMPORTRANGE(""https://docs.google.com/spreadsheets/d/1Y9LPKx95"&amp;"PyL5OKy09d-KbKJSuuEZCFdkhYjwC0XQjBA/edit?usp=share_link"",""พิจิตร!N61"")+IMPORTRANGE(""https://docs.google.com/spreadsheets/d/16OMuOwy2eVqZcYWOouQtTpa8X1L23h4660uVHc0C8os/edit?usp=share_link"",""พิษณุโลก!N61"")+IMPORTRANGE(""https://docs.google.com/sprea"&amp;"dsheets/d/1GfgTldLG6k77HXaMQzaafODklYuucJZQNs_GAPEfZyY/edit?usp=share_link"",""เพชรบูรณ์!N61"")+IMPORTRANGE(""https://docs.google.com/spreadsheets/d/1gvTMYAnm7v1yG1BKWFtr0DnaTsq59oW9dwWvFgq6hs0/edit?usp=share_link"",""แพร่!N61"")+IMPORTRANGE(""https://doc"&amp;"s.google.com/spreadsheets/d/1Wbcosgy-Xa1xXUArJSOenub6EfZHUSzc_bpJFWwQUf0/edit?usp=share_link"",""แม่ฮ่องสอน!N61"")+IMPORTRANGE(""https://docs.google.com/spreadsheets/d/1p7ERhsr0qZeSn-KSOdeHS9r0heI-lHtkcn2OH7hP0jQ/edit?usp=share_link"",""ลำปาง!N61"")+IMPOR"&amp;"TRANGE(""https://docs.google.com/spreadsheets/d/1-uUXvimVhiU2U0bMN-xi2te0tS4X7DI2GLPnMjzl8cA/edit?usp=share_link"",""ลำพูน!N61"")+IMPORTRANGE(""https://docs.google.com/spreadsheets/d/17HrOaa5pBUI1onckFfumXB8xlg35qb2uBAFfF1D-Myo/edit?usp=share_link"",""สุโ"&amp;"ขทัย!N61"")+IMPORTRANGE(""https://docs.google.com/spreadsheets/d/1ubs5cl16eYL9gHbdHTJtmtYb9MGzHBs7CAphn8kNCgM/edit?usp=share_link"",""อุตรดิตถ์!N61"")+IMPORTRANGE(""https://docs.google.com/spreadsheets/d/1kII0BjS6CtVrBvI8IrytgPdxDrlyQDyigzMsohRtDMs/edit?u"&amp;"sp=share_link"",""อุทัยธานี!N61"")
"),2300166)</f>
        <v>2300166</v>
      </c>
      <c r="O61" s="52">
        <f t="shared" ca="1" si="43"/>
        <v>16.630871900916077</v>
      </c>
      <c r="P61" s="52">
        <f t="shared" ca="1" si="44"/>
        <v>16.660425493942345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11</v>
      </c>
      <c r="J64" s="144">
        <f t="shared" ca="1" si="49"/>
        <v>9</v>
      </c>
      <c r="K64" s="145">
        <f t="shared" ref="K64:K65" ca="1" si="50">IF(I64&gt;0,J64*100/I64,0)</f>
        <v>81.818181818181813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457</v>
      </c>
      <c r="J65" s="144">
        <f t="shared" ca="1" si="51"/>
        <v>448</v>
      </c>
      <c r="K65" s="145">
        <f t="shared" ca="1" si="50"/>
        <v>98.030634573304155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7464600</v>
      </c>
      <c r="M66" s="155">
        <f t="shared" ca="1" si="52"/>
        <v>5624050</v>
      </c>
      <c r="N66" s="155">
        <f t="shared" ca="1" si="52"/>
        <v>2404806.17</v>
      </c>
      <c r="O66" s="155">
        <f t="shared" ref="O66:O74" ca="1" si="53">IF(L66&gt;0,N66*100/L66,0)</f>
        <v>32.216142459073495</v>
      </c>
      <c r="P66" s="155">
        <f t="shared" ref="P66:P74" ca="1" si="54">IF(M66&gt;0,N66*100/M66,0)</f>
        <v>42.759331264835836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7464600</v>
      </c>
      <c r="M68" s="45">
        <f t="shared" ca="1" si="56"/>
        <v>5624050</v>
      </c>
      <c r="N68" s="45">
        <f t="shared" ca="1" si="56"/>
        <v>2404806.17</v>
      </c>
      <c r="O68" s="45">
        <f t="shared" ca="1" si="53"/>
        <v>32.216142459073495</v>
      </c>
      <c r="P68" s="45">
        <f t="shared" ca="1" si="54"/>
        <v>42.759331264835836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7464600</v>
      </c>
      <c r="M69" s="38">
        <f t="shared" ca="1" si="57"/>
        <v>5624050</v>
      </c>
      <c r="N69" s="38">
        <f t="shared" ca="1" si="57"/>
        <v>2404806.17</v>
      </c>
      <c r="O69" s="38">
        <f t="shared" ca="1" si="53"/>
        <v>32.216142459073495</v>
      </c>
      <c r="P69" s="38">
        <f t="shared" ca="1" si="54"/>
        <v>42.759331264835836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xicF4apzSqm0-jIpmueT4kyZtE-Cwn5zskl7GD4loQ/edit?usp=share_link"",""กำแพงเพชร!l71"")+IMPORTRANGE(""https://docs.google.com/spreadsheets/d/1ZNYWeiFoFA1K1U4xKWqRX29MBvEyRHXORjo734Gnq_c/edit?usp=share_lin"&amp;"k"",""เชียงราย!l71"")
+IMPORTRANGE(""https://docs.google.com/spreadsheets/d/1Jgv0Y7YlHDtsiDawwp-uvifEJ8HVaSn0k2aGHG8-hwM/edit?usp=share_link"",""เชียงใหม่!l71"")+IMPORTRANGE(""https://docs.google.com/spreadsheets/d/1JWG2rZePOz9pe-f-ObA-yDr0VoOX2kSb0qIix2m"&amp;"TUo8/edit?usp=share_link"",""ตาก!l71"")+IMPORTRANGE(""https://docs.google.com/spreadsheets/d/10nSRjK08hx8Y6HgSOQKNw81lyY46Zc7U_Cj72hBMp9U/edit?usp=share_link"",""นครสวรรค์!l71"")+IMPORTRANGE(""https://docs.google.com/spreadsheets/d/1gFVb7qd7amutrIxAAoM7lc"&amp;"y35hllxznovot8lyOfvDo/edit?usp=share_link"",""น่าน!l71"")+IMPORTRANGE(""https://docs.google.com/spreadsheets/d/1K0Aa9s-6EuHE5M0FG1F9aHLXRCOV917xvycTdLdct0w/edit?usp=share_link"",""พะเยา!l71"")+IMPORTRANGE(""https://docs.google.com/spreadsheets/d/1Y9LPKx95"&amp;"PyL5OKy09d-KbKJSuuEZCFdkhYjwC0XQjBA/edit?usp=share_link"",""พิจิตร!l71"")+IMPORTRANGE(""https://docs.google.com/spreadsheets/d/16OMuOwy2eVqZcYWOouQtTpa8X1L23h4660uVHc0C8os/edit?usp=share_link"",""พิษณุโลก!l71"")+IMPORTRANGE(""https://docs.google.com/sprea"&amp;"dsheets/d/1GfgTldLG6k77HXaMQzaafODklYuucJZQNs_GAPEfZyY/edit?usp=share_link"",""เพชรบูรณ์!l71"")+IMPORTRANGE(""https://docs.google.com/spreadsheets/d/1gvTMYAnm7v1yG1BKWFtr0DnaTsq59oW9dwWvFgq6hs0/edit?usp=share_link"",""แพร่!l71"")+IMPORTRANGE(""https://doc"&amp;"s.google.com/spreadsheets/d/1Wbcosgy-Xa1xXUArJSOenub6EfZHUSzc_bpJFWwQUf0/edit?usp=share_link"",""แม่ฮ่องสอน!l71"")+IMPORTRANGE(""https://docs.google.com/spreadsheets/d/1p7ERhsr0qZeSn-KSOdeHS9r0heI-lHtkcn2OH7hP0jQ/edit?usp=share_link"",""ลำปาง!l71"")+IMPOR"&amp;"TRANGE(""https://docs.google.com/spreadsheets/d/1-uUXvimVhiU2U0bMN-xi2te0tS4X7DI2GLPnMjzl8cA/edit?usp=share_link"",""ลำพูน!l71"")+IMPORTRANGE(""https://docs.google.com/spreadsheets/d/17HrOaa5pBUI1onckFfumXB8xlg35qb2uBAFfF1D-Myo/edit?usp=share_link"",""สุโ"&amp;"ขทัย!l71"")+IMPORTRANGE(""https://docs.google.com/spreadsheets/d/1ubs5cl16eYL9gHbdHTJtmtYb9MGzHBs7CAphn8kNCgM/edit?usp=share_link"",""อุตรดิตถ์!l71"")+IMPORTRANGE(""https://docs.google.com/spreadsheets/d/1kII0BjS6CtVrBvI8IrytgPdxDrlyQDyigzMsohRtDMs/edit?u"&amp;"sp=share_link"",""อุทัยธานี!l71"")
"),7464600)</f>
        <v>7464600</v>
      </c>
      <c r="M71" s="45">
        <f ca="1">IFERROR(__xludf.DUMMYFUNCTION("IMPORTRANGE(""https://docs.google.com/spreadsheets/d/1KxicF4apzSqm0-jIpmueT4kyZtE-Cwn5zskl7GD4loQ/edit?usp=share_link"",""กำแพงเพชร!M71"")+IMPORTRANGE(""https://docs.google.com/spreadsheets/d/1ZNYWeiFoFA1K1U4xKWqRX29MBvEyRHXORjo734Gnq_c/edit?usp=share_lin"&amp;"k"",""เชียงราย!M71"")
+IMPORTRANGE(""https://docs.google.com/spreadsheets/d/1Jgv0Y7YlHDtsiDawwp-uvifEJ8HVaSn0k2aGHG8-hwM/edit?usp=share_link"",""เชียงใหม่!M71"")+IMPORTRANGE(""https://docs.google.com/spreadsheets/d/1JWG2rZePOz9pe-f-ObA-yDr0VoOX2kSb0qIix2m"&amp;"TUo8/edit?usp=share_link"",""ตาก!M71"")+IMPORTRANGE(""https://docs.google.com/spreadsheets/d/10nSRjK08hx8Y6HgSOQKNw81lyY46Zc7U_Cj72hBMp9U/edit?usp=share_link"",""นครสวรรค์!M71"")+IMPORTRANGE(""https://docs.google.com/spreadsheets/d/1gFVb7qd7amutrIxAAoM7lc"&amp;"y35hllxznovot8lyOfvDo/edit?usp=share_link"",""น่าน!M71"")+IMPORTRANGE(""https://docs.google.com/spreadsheets/d/1K0Aa9s-6EuHE5M0FG1F9aHLXRCOV917xvycTdLdct0w/edit?usp=share_link"",""พะเยา!M71"")+IMPORTRANGE(""https://docs.google.com/spreadsheets/d/1Y9LPKx95"&amp;"PyL5OKy09d-KbKJSuuEZCFdkhYjwC0XQjBA/edit?usp=share_link"",""พิจิตร!M71"")+IMPORTRANGE(""https://docs.google.com/spreadsheets/d/16OMuOwy2eVqZcYWOouQtTpa8X1L23h4660uVHc0C8os/edit?usp=share_link"",""พิษณุโลก!M71"")+IMPORTRANGE(""https://docs.google.com/sprea"&amp;"dsheets/d/1GfgTldLG6k77HXaMQzaafODklYuucJZQNs_GAPEfZyY/edit?usp=share_link"",""เพชรบูรณ์!M71"")+IMPORTRANGE(""https://docs.google.com/spreadsheets/d/1gvTMYAnm7v1yG1BKWFtr0DnaTsq59oW9dwWvFgq6hs0/edit?usp=share_link"",""แพร่!M71"")+IMPORTRANGE(""https://doc"&amp;"s.google.com/spreadsheets/d/1Wbcosgy-Xa1xXUArJSOenub6EfZHUSzc_bpJFWwQUf0/edit?usp=share_link"",""แม่ฮ่องสอน!M71"")+IMPORTRANGE(""https://docs.google.com/spreadsheets/d/1p7ERhsr0qZeSn-KSOdeHS9r0heI-lHtkcn2OH7hP0jQ/edit?usp=share_link"",""ลำปาง!M71"")+IMPOR"&amp;"TRANGE(""https://docs.google.com/spreadsheets/d/1-uUXvimVhiU2U0bMN-xi2te0tS4X7DI2GLPnMjzl8cA/edit?usp=share_link"",""ลำพูน!M71"")+IMPORTRANGE(""https://docs.google.com/spreadsheets/d/17HrOaa5pBUI1onckFfumXB8xlg35qb2uBAFfF1D-Myo/edit?usp=share_link"",""สุโ"&amp;"ขทัย!M71"")+IMPORTRANGE(""https://docs.google.com/spreadsheets/d/1ubs5cl16eYL9gHbdHTJtmtYb9MGzHBs7CAphn8kNCgM/edit?usp=share_link"",""อุตรดิตถ์!M71"")+IMPORTRANGE(""https://docs.google.com/spreadsheets/d/1kII0BjS6CtVrBvI8IrytgPdxDrlyQDyigzMsohRtDMs/edit?u"&amp;"sp=share_link"",""อุทัยธานี!M71"")
"),5624050)</f>
        <v>5624050</v>
      </c>
      <c r="N71" s="45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"),2404806.17)</f>
        <v>2404806.17</v>
      </c>
      <c r="O71" s="45">
        <f t="shared" ca="1" si="53"/>
        <v>32.216142459073495</v>
      </c>
      <c r="P71" s="45">
        <f t="shared" ca="1" si="54"/>
        <v>42.759331264835836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xicF4apzSqm0-jIpmueT4kyZtE-Cwn5zskl7GD4loQ/edit?usp=share_link"",""กำแพงเพชร!L74"")+IMPORTRANGE(""https://docs.google.com/spreadsheets/d/1ZNYWeiFoFA1K1U4xKWqRX29MBvEyRHXORjo734Gnq_c/edit?usp=share_lin"&amp;"k"",""เชียงราย!L74"")
+IMPORTRANGE(""https://docs.google.com/spreadsheets/d/1Jgv0Y7YlHDtsiDawwp-uvifEJ8HVaSn0k2aGHG8-hwM/edit?usp=share_link"",""เชียงใหม่!L74"")+IMPORTRANGE(""https://docs.google.com/spreadsheets/d/1JWG2rZePOz9pe-f-ObA-yDr0VoOX2kSb0qIix2m"&amp;"TUo8/edit?usp=share_link"",""ตาก!L74"")+IMPORTRANGE(""https://docs.google.com/spreadsheets/d/10nSRjK08hx8Y6HgSOQKNw81lyY46Zc7U_Cj72hBMp9U/edit?usp=share_link"",""นครสวรรค์!L74"")+IMPORTRANGE(""https://docs.google.com/spreadsheets/d/1gFVb7qd7amutrIxAAoM7lc"&amp;"y35hllxznovot8lyOfvDo/edit?usp=share_link"",""น่าน!L74"")+IMPORTRANGE(""https://docs.google.com/spreadsheets/d/1K0Aa9s-6EuHE5M0FG1F9aHLXRCOV917xvycTdLdct0w/edit?usp=share_link"",""พะเยา!L74"")+IMPORTRANGE(""https://docs.google.com/spreadsheets/d/1Y9LPKx95"&amp;"PyL5OKy09d-KbKJSuuEZCFdkhYjwC0XQjBA/edit?usp=share_link"",""พิจิตร!L74"")+IMPORTRANGE(""https://docs.google.com/spreadsheets/d/16OMuOwy2eVqZcYWOouQtTpa8X1L23h4660uVHc0C8os/edit?usp=share_link"",""พิษณุโลก!L74"")+IMPORTRANGE(""https://docs.google.com/sprea"&amp;"dsheets/d/1GfgTldLG6k77HXaMQzaafODklYuucJZQNs_GAPEfZyY/edit?usp=share_link"",""เพชรบูรณ์!L74"")+IMPORTRANGE(""https://docs.google.com/spreadsheets/d/1gvTMYAnm7v1yG1BKWFtr0DnaTsq59oW9dwWvFgq6hs0/edit?usp=share_link"",""แพร่!L74"")+IMPORTRANGE(""https://doc"&amp;"s.google.com/spreadsheets/d/1Wbcosgy-Xa1xXUArJSOenub6EfZHUSzc_bpJFWwQUf0/edit?usp=share_link"",""แม่ฮ่องสอน!L74"")+IMPORTRANGE(""https://docs.google.com/spreadsheets/d/1p7ERhsr0qZeSn-KSOdeHS9r0heI-lHtkcn2OH7hP0jQ/edit?usp=share_link"",""ลำปาง!L74"")+IMPOR"&amp;"TRANGE(""https://docs.google.com/spreadsheets/d/1-uUXvimVhiU2U0bMN-xi2te0tS4X7DI2GLPnMjzl8cA/edit?usp=share_link"",""ลำพูน!L74"")+IMPORTRANGE(""https://docs.google.com/spreadsheets/d/17HrOaa5pBUI1onckFfumXB8xlg35qb2uBAFfF1D-Myo/edit?usp=share_link"",""สุโ"&amp;"ขทัย!L74"")+IMPORTRANGE(""https://docs.google.com/spreadsheets/d/1ubs5cl16eYL9gHbdHTJtmtYb9MGzHBs7CAphn8kNCgM/edit?usp=share_link"",""อุตรดิตถ์!L74"")+IMPORTRANGE(""https://docs.google.com/spreadsheets/d/1kII0BjS6CtVrBvI8IrytgPdxDrlyQDyigzMsohRtDMs/edit?u"&amp;"sp=share_link"",""อุทัยธานี!L74"")
"),0)</f>
        <v>0</v>
      </c>
      <c r="M74" s="45">
        <f ca="1">IFERROR(__xludf.DUMMYFUNCTION("IMPORTRANGE(""https://docs.google.com/spreadsheets/d/1KxicF4apzSqm0-jIpmueT4kyZtE-Cwn5zskl7GD4loQ/edit?usp=share_link"",""กำแพงเพชร!M74"")+IMPORTRANGE(""https://docs.google.com/spreadsheets/d/1ZNYWeiFoFA1K1U4xKWqRX29MBvEyRHXORjo734Gnq_c/edit?usp=share_lin"&amp;"k"",""เชียงราย!M74"")
+IMPORTRANGE(""https://docs.google.com/spreadsheets/d/1Jgv0Y7YlHDtsiDawwp-uvifEJ8HVaSn0k2aGHG8-hwM/edit?usp=share_link"",""เชียงใหม่!M74"")+IMPORTRANGE(""https://docs.google.com/spreadsheets/d/1JWG2rZePOz9pe-f-ObA-yDr0VoOX2kSb0qIix2m"&amp;"TUo8/edit?usp=share_link"",""ตาก!M74"")+IMPORTRANGE(""https://docs.google.com/spreadsheets/d/10nSRjK08hx8Y6HgSOQKNw81lyY46Zc7U_Cj72hBMp9U/edit?usp=share_link"",""นครสวรรค์!M74"")+IMPORTRANGE(""https://docs.google.com/spreadsheets/d/1gFVb7qd7amutrIxAAoM7lc"&amp;"y35hllxznovot8lyOfvDo/edit?usp=share_link"",""น่าน!M74"")+IMPORTRANGE(""https://docs.google.com/spreadsheets/d/1K0Aa9s-6EuHE5M0FG1F9aHLXRCOV917xvycTdLdct0w/edit?usp=share_link"",""พะเยา!M74"")+IMPORTRANGE(""https://docs.google.com/spreadsheets/d/1Y9LPKx95"&amp;"PyL5OKy09d-KbKJSuuEZCFdkhYjwC0XQjBA/edit?usp=share_link"",""พิจิตร!M74"")+IMPORTRANGE(""https://docs.google.com/spreadsheets/d/16OMuOwy2eVqZcYWOouQtTpa8X1L23h4660uVHc0C8os/edit?usp=share_link"",""พิษณุโลก!M74"")+IMPORTRANGE(""https://docs.google.com/sprea"&amp;"dsheets/d/1GfgTldLG6k77HXaMQzaafODklYuucJZQNs_GAPEfZyY/edit?usp=share_link"",""เพชรบูรณ์!M74"")+IMPORTRANGE(""https://docs.google.com/spreadsheets/d/1gvTMYAnm7v1yG1BKWFtr0DnaTsq59oW9dwWvFgq6hs0/edit?usp=share_link"",""แพร่!M74"")+IMPORTRANGE(""https://doc"&amp;"s.google.com/spreadsheets/d/1Wbcosgy-Xa1xXUArJSOenub6EfZHUSzc_bpJFWwQUf0/edit?usp=share_link"",""แม่ฮ่องสอน!M74"")+IMPORTRANGE(""https://docs.google.com/spreadsheets/d/1p7ERhsr0qZeSn-KSOdeHS9r0heI-lHtkcn2OH7hP0jQ/edit?usp=share_link"",""ลำปาง!M74"")+IMPOR"&amp;"TRANGE(""https://docs.google.com/spreadsheets/d/1-uUXvimVhiU2U0bMN-xi2te0tS4X7DI2GLPnMjzl8cA/edit?usp=share_link"",""ลำพูน!M74"")+IMPORTRANGE(""https://docs.google.com/spreadsheets/d/17HrOaa5pBUI1onckFfumXB8xlg35qb2uBAFfF1D-Myo/edit?usp=share_link"",""สุโ"&amp;"ขทัย!M74"")+IMPORTRANGE(""https://docs.google.com/spreadsheets/d/1ubs5cl16eYL9gHbdHTJtmtYb9MGzHBs7CAphn8kNCgM/edit?usp=share_link"",""อุตรดิตถ์!M74"")+IMPORTRANGE(""https://docs.google.com/spreadsheets/d/1kII0BjS6CtVrBvI8IrytgPdxDrlyQDyigzMsohRtDMs/edit?u"&amp;"sp=share_link"",""อุทัยธานี!M74"")
"),0)</f>
        <v>0</v>
      </c>
      <c r="N74" s="45">
        <f ca="1">IFERROR(__xludf.DUMMYFUNCTION("IMPORTRANGE(""https://docs.google.com/spreadsheets/d/1KxicF4apzSqm0-jIpmueT4kyZtE-Cwn5zskl7GD4loQ/edit?usp=share_link"",""กำแพงเพชร!N74"")+IMPORTRANGE(""https://docs.google.com/spreadsheets/d/1ZNYWeiFoFA1K1U4xKWqRX29MBvEyRHXORjo734Gnq_c/edit?usp=share_lin"&amp;"k"",""เชียงราย!N74"")
+IMPORTRANGE(""https://docs.google.com/spreadsheets/d/1Jgv0Y7YlHDtsiDawwp-uvifEJ8HVaSn0k2aGHG8-hwM/edit?usp=share_link"",""เชียงใหม่!N74"")+IMPORTRANGE(""https://docs.google.com/spreadsheets/d/1JWG2rZePOz9pe-f-ObA-yDr0VoOX2kSb0qIix2m"&amp;"TUo8/edit?usp=share_link"",""ตาก!N74"")+IMPORTRANGE(""https://docs.google.com/spreadsheets/d/10nSRjK08hx8Y6HgSOQKNw81lyY46Zc7U_Cj72hBMp9U/edit?usp=share_link"",""นครสวรรค์!N74"")+IMPORTRANGE(""https://docs.google.com/spreadsheets/d/1gFVb7qd7amutrIxAAoM7lc"&amp;"y35hllxznovot8lyOfvDo/edit?usp=share_link"",""น่าน!N74"")+IMPORTRANGE(""https://docs.google.com/spreadsheets/d/1K0Aa9s-6EuHE5M0FG1F9aHLXRCOV917xvycTdLdct0w/edit?usp=share_link"",""พะเยา!N74"")+IMPORTRANGE(""https://docs.google.com/spreadsheets/d/1Y9LPKx95"&amp;"PyL5OKy09d-KbKJSuuEZCFdkhYjwC0XQjBA/edit?usp=share_link"",""พิจิตร!N74"")+IMPORTRANGE(""https://docs.google.com/spreadsheets/d/16OMuOwy2eVqZcYWOouQtTpa8X1L23h4660uVHc0C8os/edit?usp=share_link"",""พิษณุโลก!N74"")+IMPORTRANGE(""https://docs.google.com/sprea"&amp;"dsheets/d/1GfgTldLG6k77HXaMQzaafODklYuucJZQNs_GAPEfZyY/edit?usp=share_link"",""เพชรบูรณ์!N74"")+IMPORTRANGE(""https://docs.google.com/spreadsheets/d/1gvTMYAnm7v1yG1BKWFtr0DnaTsq59oW9dwWvFgq6hs0/edit?usp=share_link"",""แพร่!N74"")+IMPORTRANGE(""https://doc"&amp;"s.google.com/spreadsheets/d/1Wbcosgy-Xa1xXUArJSOenub6EfZHUSzc_bpJFWwQUf0/edit?usp=share_link"",""แม่ฮ่องสอน!N74"")+IMPORTRANGE(""https://docs.google.com/spreadsheets/d/1p7ERhsr0qZeSn-KSOdeHS9r0heI-lHtkcn2OH7hP0jQ/edit?usp=share_link"",""ลำปาง!N74"")+IMPOR"&amp;"TRANGE(""https://docs.google.com/spreadsheets/d/1-uUXvimVhiU2U0bMN-xi2te0tS4X7DI2GLPnMjzl8cA/edit?usp=share_link"",""ลำพูน!N74"")+IMPORTRANGE(""https://docs.google.com/spreadsheets/d/17HrOaa5pBUI1onckFfumXB8xlg35qb2uBAFfF1D-Myo/edit?usp=share_link"",""สุโ"&amp;"ขทัย!N74"")+IMPORTRANGE(""https://docs.google.com/spreadsheets/d/1ubs5cl16eYL9gHbdHTJtmtYb9MGzHBs7CAphn8kNCgM/edit?usp=share_link"",""อุตรดิตถ์!N74"")+IMPORTRANGE(""https://docs.google.com/spreadsheets/d/1kII0BjS6CtVrBvI8IrytgPdxDrlyQDyigzMsohRtDMs/edit?u"&amp;"sp=share_link"",""อุทัยธานี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I77" ca="1" si="59">I78+I80+I82</f>
        <v>11</v>
      </c>
      <c r="J76" s="37">
        <f ca="1">J107+J80+J82</f>
        <v>9</v>
      </c>
      <c r="K76" s="163">
        <f t="shared" ref="K76:K77" ca="1" si="60">IF(I76&gt;0,J76*100/I76,0)</f>
        <v>81.818181818181813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ca="1" si="59"/>
        <v>457</v>
      </c>
      <c r="J77" s="37">
        <f ca="1">J79+J81+J83</f>
        <v>448</v>
      </c>
      <c r="K77" s="163">
        <f t="shared" ca="1" si="60"/>
        <v>98.030634573304155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78" s="183">
        <f ca="1">IFERROR(__xludf.DUMMYFUNCTION("IMPORTRANGE(""https://docs.google.com/spreadsheets/d/1KxicF4apzSqm0-jIpmueT4kyZtE-Cwn5zskl7GD4loQ/edit?usp=share_link"",""กำแพงเพชร!J107"")+IMPORTRANGE(""https://docs.google.com/spreadsheets/d/1ZNYWeiFoFA1K1U4xKWqRX29MBvEyRHXORjo734Gnq_c/edit?usp=share_li"&amp;"nk"",""เชียงราย!J107"")
+IMPORTRANGE(""https://docs.google.com/spreadsheets/d/1Jgv0Y7YlHDtsiDawwp-uvifEJ8HVaSn0k2aGHG8-hwM/edit?usp=share_link"",""เชียงใหม่!J107"")+IMPORTRANGE(""https://docs.google.com/spreadsheets/d/1JWG2rZePOz9pe-f-ObA-yDr0VoOX2kSb0qIi"&amp;"x2mTUo8/edit?usp=share_link"",""ตาก!J107"")+IMPORTRANGE(""https://docs.google.com/spreadsheets/d/10nSRjK08hx8Y6HgSOQKNw81lyY46Zc7U_Cj72hBMp9U/edit?usp=share_link"",""นครสวรรค์!J107"")+IMPORTRANGE(""https://docs.google.com/spreadsheets/d/1gFVb7qd7amutrIxAA"&amp;"oM7lcy35hllxznovot8lyOfvDo/edit?usp=share_link"",""น่าน!J107"")+IMPORTRANGE(""https://docs.google.com/spreadsheets/d/1K0Aa9s-6EuHE5M0FG1F9aHLXRCOV917xvycTdLdct0w/edit?usp=share_link"",""พะเยา!J107"")+IMPORTRANGE(""https://docs.google.com/spreadsheets/d/1Y"&amp;"9LPKx95PyL5OKy09d-KbKJSuuEZCFdkhYjwC0XQjBA/edit?usp=share_link"",""พิจิตร!J107"")+IMPORTRANGE(""https://docs.google.com/spreadsheets/d/16OMuOwy2eVqZcYWOouQtTpa8X1L23h4660uVHc0C8os/edit?usp=share_link"",""พิษณุโลก!J107"")+IMPORTRANGE(""https://docs.google."&amp;"com/spreadsheets/d/1GfgTldLG6k77HXaMQzaafODklYuucJZQNs_GAPEfZyY/edit?usp=share_link"",""เพชรบูรณ์!J107"")+IMPORTRANGE(""https://docs.google.com/spreadsheets/d/1gvTMYAnm7v1yG1BKWFtr0DnaTsq59oW9dwWvFgq6hs0/edit?usp=share_link"",""แพร่!J107"")+IMPORTRANGE("""&amp;"https://docs.google.com/spreadsheets/d/1Wbcosgy-Xa1xXUArJSOenub6EfZHUSzc_bpJFWwQUf0/edit?usp=share_link"",""แม่ฮ่องสอน!J107"")+IMPORTRANGE(""https://docs.google.com/spreadsheets/d/1p7ERhsr0qZeSn-KSOdeHS9r0heI-lHtkcn2OH7hP0jQ/edit?usp=share_link"",""ลำปาง!"&amp;"J107"")+IMPORTRANGE(""https://docs.google.com/spreadsheets/d/1-uUXvimVhiU2U0bMN-xi2te0tS4X7DI2GLPnMjzl8cA/edit?usp=share_link"",""ลำพูน!J107"")+IMPORTRANGE(""https://docs.google.com/spreadsheets/d/17HrOaa5pBUI1onckFfumXB8xlg35qb2uBAFfF1D-Myo/edit?usp=shar"&amp;"e_link"",""สุโขทัย!J107"")+IMPORTRANGE(""https://docs.google.com/spreadsheets/d/1ubs5cl16eYL9gHbdHTJtmtYb9MGzHBs7CAphn8kNCgM/edit?usp=share_link"",""อุตรดิตถ์!J107"")+IMPORTRANGE(""https://docs.google.com/spreadsheets/d/1kII0BjS6CtVrBvI8IrytgPdxDrlyQDyigz"&amp;"MsohRtDMs/edit?usp=share_link"",""อุทัยธานี!J107"")
"),3)</f>
        <v>3</v>
      </c>
      <c r="K78" s="163">
        <f ca="1">IF(I78&gt;0,J107*100/I78,0)</f>
        <v>75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xicF4apzSqm0-jIpmueT4kyZtE-Cwn5zskl7GD4loQ/edit?usp=share_link"",""กำแพงเพชร!I79"")+IMPORTRANGE(""https://docs.google.com/spreadsheets/d/1ZNYWeiFoFA1K1U4xKWqRX29MBvEyRHXORjo734Gnq_c/edit?usp=share_lin"&amp;"k"",""เชียงราย!I79"")
+IMPORTRANGE(""https://docs.google.com/spreadsheets/d/1Jgv0Y7YlHDtsiDawwp-uvifEJ8HVaSn0k2aGHG8-hwM/edit?usp=share_link"",""เชียงใหม่!I79"")+IMPORTRANGE(""https://docs.google.com/spreadsheets/d/1JWG2rZePOz9pe-f-ObA-yDr0VoOX2kSb0qIix2m"&amp;"TUo8/edit?usp=share_link"",""ตาก!I79"")+IMPORTRANGE(""https://docs.google.com/spreadsheets/d/10nSRjK08hx8Y6HgSOQKNw81lyY46Zc7U_Cj72hBMp9U/edit?usp=share_link"",""นครสวรรค์!I79"")+IMPORTRANGE(""https://docs.google.com/spreadsheets/d/1gFVb7qd7amutrIxAAoM7lc"&amp;"y35hllxznovot8lyOfvDo/edit?usp=share_link"",""น่าน!I79"")+IMPORTRANGE(""https://docs.google.com/spreadsheets/d/1K0Aa9s-6EuHE5M0FG1F9aHLXRCOV917xvycTdLdct0w/edit?usp=share_link"",""พะเยา!I79"")+IMPORTRANGE(""https://docs.google.com/spreadsheets/d/1Y9LPKx95"&amp;"PyL5OKy09d-KbKJSuuEZCFdkhYjwC0XQjBA/edit?usp=share_link"",""พิจิตร!I79"")+IMPORTRANGE(""https://docs.google.com/spreadsheets/d/16OMuOwy2eVqZcYWOouQtTpa8X1L23h4660uVHc0C8os/edit?usp=share_link"",""พิษณุโลก!I79"")+IMPORTRANGE(""https://docs.google.com/sprea"&amp;"dsheets/d/1GfgTldLG6k77HXaMQzaafODklYuucJZQNs_GAPEfZyY/edit?usp=share_link"",""เพชรบูรณ์!I79"")+IMPORTRANGE(""https://docs.google.com/spreadsheets/d/1gvTMYAnm7v1yG1BKWFtr0DnaTsq59oW9dwWvFgq6hs0/edit?usp=share_link"",""แพร่!I79"")+IMPORTRANGE(""https://doc"&amp;"s.google.com/spreadsheets/d/1Wbcosgy-Xa1xXUArJSOenub6EfZHUSzc_bpJFWwQUf0/edit?usp=share_link"",""แม่ฮ่องสอน!I79"")+IMPORTRANGE(""https://docs.google.com/spreadsheets/d/1p7ERhsr0qZeSn-KSOdeHS9r0heI-lHtkcn2OH7hP0jQ/edit?usp=share_link"",""ลำปาง!I79"")+IMPOR"&amp;"TRANGE(""https://docs.google.com/spreadsheets/d/1-uUXvimVhiU2U0bMN-xi2te0tS4X7DI2GLPnMjzl8cA/edit?usp=share_link"",""ลำพูน!I79"")+IMPORTRANGE(""https://docs.google.com/spreadsheets/d/17HrOaa5pBUI1onckFfumXB8xlg35qb2uBAFfF1D-Myo/edit?usp=share_link"",""สุโ"&amp;"ขทัย!I79"")+IMPORTRANGE(""https://docs.google.com/spreadsheets/d/1ubs5cl16eYL9gHbdHTJtmtYb9MGzHBs7CAphn8kNCgM/edit?usp=share_link"",""อุตรดิตถ์!I79"")+IMPORTRANGE(""https://docs.google.com/spreadsheets/d/1kII0BjS6CtVrBvI8IrytgPdxDrlyQDyigzMsohRtDMs/edit?u"&amp;"sp=share_link"",""อุทัยธานี!I79"")
"),150)</f>
        <v>150</v>
      </c>
      <c r="J79" s="183">
        <f ca="1">IFERROR(__xludf.DUMMYFUNCTION("IMPORTRANGE(""https://docs.google.com/spreadsheets/d/1KxicF4apzSqm0-jIpmueT4kyZtE-Cwn5zskl7GD4loQ/edit?usp=share_link"",""กำแพงเพชร!J79"")+IMPORTRANGE(""https://docs.google.com/spreadsheets/d/1ZNYWeiFoFA1K1U4xKWqRX29MBvEyRHXORjo734Gnq_c/edit?usp=share_lin"&amp;"k"",""เชียงราย!J79"")
+IMPORTRANGE(""https://docs.google.com/spreadsheets/d/1Jgv0Y7YlHDtsiDawwp-uvifEJ8HVaSn0k2aGHG8-hwM/edit?usp=share_link"",""เชียงใหม่!J79"")+IMPORTRANGE(""https://docs.google.com/spreadsheets/d/1JWG2rZePOz9pe-f-ObA-yDr0VoOX2kSb0qIix2m"&amp;"TUo8/edit?usp=share_link"",""ตาก!J79"")+IMPORTRANGE(""https://docs.google.com/spreadsheets/d/10nSRjK08hx8Y6HgSOQKNw81lyY46Zc7U_Cj72hBMp9U/edit?usp=share_link"",""นครสวรรค์!J79"")+IMPORTRANGE(""https://docs.google.com/spreadsheets/d/1gFVb7qd7amutrIxAAoM7lc"&amp;"y35hllxznovot8lyOfvDo/edit?usp=share_link"",""น่าน!J79"")+IMPORTRANGE(""https://docs.google.com/spreadsheets/d/1K0Aa9s-6EuHE5M0FG1F9aHLXRCOV917xvycTdLdct0w/edit?usp=share_link"",""พะเยา!J79"")+IMPORTRANGE(""https://docs.google.com/spreadsheets/d/1Y9LPKx95"&amp;"PyL5OKy09d-KbKJSuuEZCFdkhYjwC0XQjBA/edit?usp=share_link"",""พิจิตร!J79"")+IMPORTRANGE(""https://docs.google.com/spreadsheets/d/16OMuOwy2eVqZcYWOouQtTpa8X1L23h4660uVHc0C8os/edit?usp=share_link"",""พิษณุโลก!J79"")+IMPORTRANGE(""https://docs.google.com/sprea"&amp;"dsheets/d/1GfgTldLG6k77HXaMQzaafODklYuucJZQNs_GAPEfZyY/edit?usp=share_link"",""เพชรบูรณ์!J79"")+IMPORTRANGE(""https://docs.google.com/spreadsheets/d/1gvTMYAnm7v1yG1BKWFtr0DnaTsq59oW9dwWvFgq6hs0/edit?usp=share_link"",""แพร่!J79"")+IMPORTRANGE(""https://doc"&amp;"s.google.com/spreadsheets/d/1Wbcosgy-Xa1xXUArJSOenub6EfZHUSzc_bpJFWwQUf0/edit?usp=share_link"",""แม่ฮ่องสอน!J79"")+IMPORTRANGE(""https://docs.google.com/spreadsheets/d/1p7ERhsr0qZeSn-KSOdeHS9r0heI-lHtkcn2OH7hP0jQ/edit?usp=share_link"",""ลำปาง!J79"")+IMPOR"&amp;"TRANGE(""https://docs.google.com/spreadsheets/d/1-uUXvimVhiU2U0bMN-xi2te0tS4X7DI2GLPnMjzl8cA/edit?usp=share_link"",""ลำพูน!J79"")+IMPORTRANGE(""https://docs.google.com/spreadsheets/d/17HrOaa5pBUI1onckFfumXB8xlg35qb2uBAFfF1D-Myo/edit?usp=share_link"",""สุโ"&amp;"ขทัย!J79"")+IMPORTRANGE(""https://docs.google.com/spreadsheets/d/1ubs5cl16eYL9gHbdHTJtmtYb9MGzHBs7CAphn8kNCgM/edit?usp=share_link"",""อุตรดิตถ์!J79"")+IMPORTRANGE(""https://docs.google.com/spreadsheets/d/1kII0BjS6CtVrBvI8IrytgPdxDrlyQDyigzMsohRtDMs/edit?u"&amp;"sp=share_link"",""อุทัยธานี!J79"")
"),150)</f>
        <v>150</v>
      </c>
      <c r="K79" s="163">
        <f t="shared" ref="K79:K84" ca="1" si="61">IF(I79&gt;0,J79*100/I79,0)</f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xicF4apzSqm0-jIpmueT4kyZtE-Cwn5zskl7GD4loQ/edit?usp=share_link"",""กำแพงเพชร!I80"")+IMPORTRANGE(""https://docs.google.com/spreadsheets/d/1ZNYWeiFoFA1K1U4xKWqRX29MBvEyRHXORjo734Gnq_c/edit?usp=share_lin"&amp;"k"",""เชียงราย!I80"")
+IMPORTRANGE(""https://docs.google.com/spreadsheets/d/1Jgv0Y7YlHDtsiDawwp-uvifEJ8HVaSn0k2aGHG8-hwM/edit?usp=share_link"",""เชียงใหม่!I80"")+IMPORTRANGE(""https://docs.google.com/spreadsheets/d/1JWG2rZePOz9pe-f-ObA-yDr0VoOX2kSb0qIix2m"&amp;"TUo8/edit?usp=share_link"",""ตาก!I80"")+IMPORTRANGE(""https://docs.google.com/spreadsheets/d/10nSRjK08hx8Y6HgSOQKNw81lyY46Zc7U_Cj72hBMp9U/edit?usp=share_link"",""นครสวรรค์!I80"")+IMPORTRANGE(""https://docs.google.com/spreadsheets/d/1gFVb7qd7amutrIxAAoM7lc"&amp;"y35hllxznovot8lyOfvDo/edit?usp=share_link"",""น่าน!I80"")+IMPORTRANGE(""https://docs.google.com/spreadsheets/d/1K0Aa9s-6EuHE5M0FG1F9aHLXRCOV917xvycTdLdct0w/edit?usp=share_link"",""พะเยา!I80"")+IMPORTRANGE(""https://docs.google.com/spreadsheets/d/1Y9LPKx95"&amp;"PyL5OKy09d-KbKJSuuEZCFdkhYjwC0XQjBA/edit?usp=share_link"",""พิจิตร!I80"")+IMPORTRANGE(""https://docs.google.com/spreadsheets/d/16OMuOwy2eVqZcYWOouQtTpa8X1L23h4660uVHc0C8os/edit?usp=share_link"",""พิษณุโลก!I80"")+IMPORTRANGE(""https://docs.google.com/sprea"&amp;"dsheets/d/1GfgTldLG6k77HXaMQzaafODklYuucJZQNs_GAPEfZyY/edit?usp=share_link"",""เพชรบูรณ์!I80"")+IMPORTRANGE(""https://docs.google.com/spreadsheets/d/1gvTMYAnm7v1yG1BKWFtr0DnaTsq59oW9dwWvFgq6hs0/edit?usp=share_link"",""แพร่!I80"")+IMPORTRANGE(""https://doc"&amp;"s.google.com/spreadsheets/d/1Wbcosgy-Xa1xXUArJSOenub6EfZHUSzc_bpJFWwQUf0/edit?usp=share_link"",""แม่ฮ่องสอน!I80"")+IMPORTRANGE(""https://docs.google.com/spreadsheets/d/1p7ERhsr0qZeSn-KSOdeHS9r0heI-lHtkcn2OH7hP0jQ/edit?usp=share_link"",""ลำปาง!I80"")+IMPOR"&amp;"TRANGE(""https://docs.google.com/spreadsheets/d/1-uUXvimVhiU2U0bMN-xi2te0tS4X7DI2GLPnMjzl8cA/edit?usp=share_link"",""ลำพูน!I80"")+IMPORTRANGE(""https://docs.google.com/spreadsheets/d/17HrOaa5pBUI1onckFfumXB8xlg35qb2uBAFfF1D-Myo/edit?usp=share_link"",""สุโ"&amp;"ขทัย!I80"")+IMPORTRANGE(""https://docs.google.com/spreadsheets/d/1ubs5cl16eYL9gHbdHTJtmtYb9MGzHBs7CAphn8kNCgM/edit?usp=share_link"",""อุตรดิตถ์!I80"")+IMPORTRANGE(""https://docs.google.com/spreadsheets/d/1kII0BjS6CtVrBvI8IrytgPdxDrlyQDyigzMsohRtDMs/edit?u"&amp;"sp=share_link"",""อุทัยธานี!I80"")
"),4)</f>
        <v>4</v>
      </c>
      <c r="J80" s="183">
        <f ca="1">IFERROR(__xludf.DUMMYFUNCTION("IMPORTRANGE(""https://docs.google.com/spreadsheets/d/1KxicF4apzSqm0-jIpmueT4kyZtE-Cwn5zskl7GD4loQ/edit?usp=share_link"",""กำแพงเพชร!J80"")+IMPORTRANGE(""https://docs.google.com/spreadsheets/d/1ZNYWeiFoFA1K1U4xKWqRX29MBvEyRHXORjo734Gnq_c/edit?usp=share_lin"&amp;"k"",""เชียงราย!J80"")
+IMPORTRANGE(""https://docs.google.com/spreadsheets/d/1Jgv0Y7YlHDtsiDawwp-uvifEJ8HVaSn0k2aGHG8-hwM/edit?usp=share_link"",""เชียงใหม่!J80"")+IMPORTRANGE(""https://docs.google.com/spreadsheets/d/1JWG2rZePOz9pe-f-ObA-yDr0VoOX2kSb0qIix2m"&amp;"TUo8/edit?usp=share_link"",""ตาก!J80"")+IMPORTRANGE(""https://docs.google.com/spreadsheets/d/10nSRjK08hx8Y6HgSOQKNw81lyY46Zc7U_Cj72hBMp9U/edit?usp=share_link"",""นครสวรรค์!J80"")+IMPORTRANGE(""https://docs.google.com/spreadsheets/d/1gFVb7qd7amutrIxAAoM7lc"&amp;"y35hllxznovot8lyOfvDo/edit?usp=share_link"",""น่าน!J80"")+IMPORTRANGE(""https://docs.google.com/spreadsheets/d/1K0Aa9s-6EuHE5M0FG1F9aHLXRCOV917xvycTdLdct0w/edit?usp=share_link"",""พะเยา!J80"")+IMPORTRANGE(""https://docs.google.com/spreadsheets/d/1Y9LPKx95"&amp;"PyL5OKy09d-KbKJSuuEZCFdkhYjwC0XQjBA/edit?usp=share_link"",""พิจิตร!J80"")+IMPORTRANGE(""https://docs.google.com/spreadsheets/d/16OMuOwy2eVqZcYWOouQtTpa8X1L23h4660uVHc0C8os/edit?usp=share_link"",""พิษณุโลก!J80"")+IMPORTRANGE(""https://docs.google.com/sprea"&amp;"dsheets/d/1GfgTldLG6k77HXaMQzaafODklYuucJZQNs_GAPEfZyY/edit?usp=share_link"",""เพชรบูรณ์!J80"")+IMPORTRANGE(""https://docs.google.com/spreadsheets/d/1gvTMYAnm7v1yG1BKWFtr0DnaTsq59oW9dwWvFgq6hs0/edit?usp=share_link"",""แพร่!J80"")+IMPORTRANGE(""https://doc"&amp;"s.google.com/spreadsheets/d/1Wbcosgy-Xa1xXUArJSOenub6EfZHUSzc_bpJFWwQUf0/edit?usp=share_link"",""แม่ฮ่องสอน!J80"")+IMPORTRANGE(""https://docs.google.com/spreadsheets/d/1p7ERhsr0qZeSn-KSOdeHS9r0heI-lHtkcn2OH7hP0jQ/edit?usp=share_link"",""ลำปาง!J80"")+IMPOR"&amp;"TRANGE(""https://docs.google.com/spreadsheets/d/1-uUXvimVhiU2U0bMN-xi2te0tS4X7DI2GLPnMjzl8cA/edit?usp=share_link"",""ลำพูน!J80"")+IMPORTRANGE(""https://docs.google.com/spreadsheets/d/17HrOaa5pBUI1onckFfumXB8xlg35qb2uBAFfF1D-Myo/edit?usp=share_link"",""สุโ"&amp;"ขทัย!J80"")+IMPORTRANGE(""https://docs.google.com/spreadsheets/d/1ubs5cl16eYL9gHbdHTJtmtYb9MGzHBs7CAphn8kNCgM/edit?usp=share_link"",""อุตรดิตถ์!J80"")+IMPORTRANGE(""https://docs.google.com/spreadsheets/d/1kII0BjS6CtVrBvI8IrytgPdxDrlyQDyigzMsohRtDMs/edit?u"&amp;"sp=share_link"",""อุทัยธานี!J80"")
"),4)</f>
        <v>4</v>
      </c>
      <c r="K80" s="163">
        <f t="shared" ca="1" si="61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xicF4apzSqm0-jIpmueT4kyZtE-Cwn5zskl7GD4loQ/edit?usp=share_link"",""กำแพงเพชร!I81"")+IMPORTRANGE(""https://docs.google.com/spreadsheets/d/1ZNYWeiFoFA1K1U4xKWqRX29MBvEyRHXORjo734Gnq_c/edit?usp=share_lin"&amp;"k"",""เชียงราย!I81"")
+IMPORTRANGE(""https://docs.google.com/spreadsheets/d/1Jgv0Y7YlHDtsiDawwp-uvifEJ8HVaSn0k2aGHG8-hwM/edit?usp=share_link"",""เชียงใหม่!I81"")+IMPORTRANGE(""https://docs.google.com/spreadsheets/d/1JWG2rZePOz9pe-f-ObA-yDr0VoOX2kSb0qIix2m"&amp;"TUo8/edit?usp=share_link"",""ตาก!I81"")+IMPORTRANGE(""https://docs.google.com/spreadsheets/d/10nSRjK08hx8Y6HgSOQKNw81lyY46Zc7U_Cj72hBMp9U/edit?usp=share_link"",""นครสวรรค์!I81"")+IMPORTRANGE(""https://docs.google.com/spreadsheets/d/1gFVb7qd7amutrIxAAoM7lc"&amp;"y35hllxznovot8lyOfvDo/edit?usp=share_link"",""น่าน!I81"")+IMPORTRANGE(""https://docs.google.com/spreadsheets/d/1K0Aa9s-6EuHE5M0FG1F9aHLXRCOV917xvycTdLdct0w/edit?usp=share_link"",""พะเยา!I81"")+IMPORTRANGE(""https://docs.google.com/spreadsheets/d/1Y9LPKx95"&amp;"PyL5OKy09d-KbKJSuuEZCFdkhYjwC0XQjBA/edit?usp=share_link"",""พิจิตร!I81"")+IMPORTRANGE(""https://docs.google.com/spreadsheets/d/16OMuOwy2eVqZcYWOouQtTpa8X1L23h4660uVHc0C8os/edit?usp=share_link"",""พิษณุโลก!I81"")+IMPORTRANGE(""https://docs.google.com/sprea"&amp;"dsheets/d/1GfgTldLG6k77HXaMQzaafODklYuucJZQNs_GAPEfZyY/edit?usp=share_link"",""เพชรบูรณ์!I81"")+IMPORTRANGE(""https://docs.google.com/spreadsheets/d/1gvTMYAnm7v1yG1BKWFtr0DnaTsq59oW9dwWvFgq6hs0/edit?usp=share_link"",""แพร่!I81"")+IMPORTRANGE(""https://doc"&amp;"s.google.com/spreadsheets/d/1Wbcosgy-Xa1xXUArJSOenub6EfZHUSzc_bpJFWwQUf0/edit?usp=share_link"",""แม่ฮ่องสอน!I81"")+IMPORTRANGE(""https://docs.google.com/spreadsheets/d/1p7ERhsr0qZeSn-KSOdeHS9r0heI-lHtkcn2OH7hP0jQ/edit?usp=share_link"",""ลำปาง!I81"")+IMPOR"&amp;"TRANGE(""https://docs.google.com/spreadsheets/d/1-uUXvimVhiU2U0bMN-xi2te0tS4X7DI2GLPnMjzl8cA/edit?usp=share_link"",""ลำพูน!I81"")+IMPORTRANGE(""https://docs.google.com/spreadsheets/d/17HrOaa5pBUI1onckFfumXB8xlg35qb2uBAFfF1D-Myo/edit?usp=share_link"",""สุโ"&amp;"ขทัย!I81"")+IMPORTRANGE(""https://docs.google.com/spreadsheets/d/1ubs5cl16eYL9gHbdHTJtmtYb9MGzHBs7CAphn8kNCgM/edit?usp=share_link"",""อุตรดิตถ์!I81"")+IMPORTRANGE(""https://docs.google.com/spreadsheets/d/1kII0BjS6CtVrBvI8IrytgPdxDrlyQDyigzMsohRtDMs/edit?u"&amp;"sp=share_link"",""อุทัยธานี!I81"")
"),157)</f>
        <v>157</v>
      </c>
      <c r="J81" s="183">
        <f ca="1">IFERROR(__xludf.DUMMYFUNCTION("IMPORTRANGE(""https://docs.google.com/spreadsheets/d/1KxicF4apzSqm0-jIpmueT4kyZtE-Cwn5zskl7GD4loQ/edit?usp=share_link"",""กำแพงเพชร!J81"")+IMPORTRANGE(""https://docs.google.com/spreadsheets/d/1ZNYWeiFoFA1K1U4xKWqRX29MBvEyRHXORjo734Gnq_c/edit?usp=share_lin"&amp;"k"",""เชียงราย!J81"")
+IMPORTRANGE(""https://docs.google.com/spreadsheets/d/1Jgv0Y7YlHDtsiDawwp-uvifEJ8HVaSn0k2aGHG8-hwM/edit?usp=share_link"",""เชียงใหม่!J81"")+IMPORTRANGE(""https://docs.google.com/spreadsheets/d/1JWG2rZePOz9pe-f-ObA-yDr0VoOX2kSb0qIix2m"&amp;"TUo8/edit?usp=share_link"",""ตาก!J81"")+IMPORTRANGE(""https://docs.google.com/spreadsheets/d/10nSRjK08hx8Y6HgSOQKNw81lyY46Zc7U_Cj72hBMp9U/edit?usp=share_link"",""นครสวรรค์!J81"")+IMPORTRANGE(""https://docs.google.com/spreadsheets/d/1gFVb7qd7amutrIxAAoM7lc"&amp;"y35hllxznovot8lyOfvDo/edit?usp=share_link"",""น่าน!J81"")+IMPORTRANGE(""https://docs.google.com/spreadsheets/d/1K0Aa9s-6EuHE5M0FG1F9aHLXRCOV917xvycTdLdct0w/edit?usp=share_link"",""พะเยา!J81"")+IMPORTRANGE(""https://docs.google.com/spreadsheets/d/1Y9LPKx95"&amp;"PyL5OKy09d-KbKJSuuEZCFdkhYjwC0XQjBA/edit?usp=share_link"",""พิจิตร!J81"")+IMPORTRANGE(""https://docs.google.com/spreadsheets/d/16OMuOwy2eVqZcYWOouQtTpa8X1L23h4660uVHc0C8os/edit?usp=share_link"",""พิษณุโลก!J81"")+IMPORTRANGE(""https://docs.google.com/sprea"&amp;"dsheets/d/1GfgTldLG6k77HXaMQzaafODklYuucJZQNs_GAPEfZyY/edit?usp=share_link"",""เพชรบูรณ์!J81"")+IMPORTRANGE(""https://docs.google.com/spreadsheets/d/1gvTMYAnm7v1yG1BKWFtr0DnaTsq59oW9dwWvFgq6hs0/edit?usp=share_link"",""แพร่!J81"")+IMPORTRANGE(""https://doc"&amp;"s.google.com/spreadsheets/d/1Wbcosgy-Xa1xXUArJSOenub6EfZHUSzc_bpJFWwQUf0/edit?usp=share_link"",""แม่ฮ่องสอน!J81"")+IMPORTRANGE(""https://docs.google.com/spreadsheets/d/1p7ERhsr0qZeSn-KSOdeHS9r0heI-lHtkcn2OH7hP0jQ/edit?usp=share_link"",""ลำปาง!J81"")+IMPOR"&amp;"TRANGE(""https://docs.google.com/spreadsheets/d/1-uUXvimVhiU2U0bMN-xi2te0tS4X7DI2GLPnMjzl8cA/edit?usp=share_link"",""ลำพูน!J81"")+IMPORTRANGE(""https://docs.google.com/spreadsheets/d/17HrOaa5pBUI1onckFfumXB8xlg35qb2uBAFfF1D-Myo/edit?usp=share_link"",""สุโ"&amp;"ขทัย!J81"")+IMPORTRANGE(""https://docs.google.com/spreadsheets/d/1ubs5cl16eYL9gHbdHTJtmtYb9MGzHBs7CAphn8kNCgM/edit?usp=share_link"",""อุตรดิตถ์!J81"")+IMPORTRANGE(""https://docs.google.com/spreadsheets/d/1kII0BjS6CtVrBvI8IrytgPdxDrlyQDyigzMsohRtDMs/edit?u"&amp;"sp=share_link"",""อุทัยธานี!J81"")
"),157)</f>
        <v>157</v>
      </c>
      <c r="K81" s="163">
        <f t="shared" ca="1" si="61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xicF4apzSqm0-jIpmueT4kyZtE-Cwn5zskl7GD4loQ/edit?usp=share_link"",""กำแพงเพชร!I82"")+IMPORTRANGE(""https://docs.google.com/spreadsheets/d/1ZNYWeiFoFA1K1U4xKWqRX29MBvEyRHXORjo734Gnq_c/edit?usp=share_lin"&amp;"k"",""เชียงราย!I82"")
+IMPORTRANGE(""https://docs.google.com/spreadsheets/d/1Jgv0Y7YlHDtsiDawwp-uvifEJ8HVaSn0k2aGHG8-hwM/edit?usp=share_link"",""เชียงใหม่!I82"")+IMPORTRANGE(""https://docs.google.com/spreadsheets/d/1JWG2rZePOz9pe-f-ObA-yDr0VoOX2kSb0qIix2m"&amp;"TUo8/edit?usp=share_link"",""ตาก!I82"")+IMPORTRANGE(""https://docs.google.com/spreadsheets/d/10nSRjK08hx8Y6HgSOQKNw81lyY46Zc7U_Cj72hBMp9U/edit?usp=share_link"",""นครสวรรค์!I82"")+IMPORTRANGE(""https://docs.google.com/spreadsheets/d/1gFVb7qd7amutrIxAAoM7lc"&amp;"y35hllxznovot8lyOfvDo/edit?usp=share_link"",""น่าน!I82"")+IMPORTRANGE(""https://docs.google.com/spreadsheets/d/1K0Aa9s-6EuHE5M0FG1F9aHLXRCOV917xvycTdLdct0w/edit?usp=share_link"",""พะเยา!I82"")+IMPORTRANGE(""https://docs.google.com/spreadsheets/d/1Y9LPKx95"&amp;"PyL5OKy09d-KbKJSuuEZCFdkhYjwC0XQjBA/edit?usp=share_link"",""พิจิตร!I82"")+IMPORTRANGE(""https://docs.google.com/spreadsheets/d/16OMuOwy2eVqZcYWOouQtTpa8X1L23h4660uVHc0C8os/edit?usp=share_link"",""พิษณุโลก!I82"")+IMPORTRANGE(""https://docs.google.com/sprea"&amp;"dsheets/d/1GfgTldLG6k77HXaMQzaafODklYuucJZQNs_GAPEfZyY/edit?usp=share_link"",""เพชรบูรณ์!I82"")+IMPORTRANGE(""https://docs.google.com/spreadsheets/d/1gvTMYAnm7v1yG1BKWFtr0DnaTsq59oW9dwWvFgq6hs0/edit?usp=share_link"",""แพร่!I82"")+IMPORTRANGE(""https://doc"&amp;"s.google.com/spreadsheets/d/1Wbcosgy-Xa1xXUArJSOenub6EfZHUSzc_bpJFWwQUf0/edit?usp=share_link"",""แม่ฮ่องสอน!I82"")+IMPORTRANGE(""https://docs.google.com/spreadsheets/d/1p7ERhsr0qZeSn-KSOdeHS9r0heI-lHtkcn2OH7hP0jQ/edit?usp=share_link"",""ลำปาง!I82"")+IMPOR"&amp;"TRANGE(""https://docs.google.com/spreadsheets/d/1-uUXvimVhiU2U0bMN-xi2te0tS4X7DI2GLPnMjzl8cA/edit?usp=share_link"",""ลำพูน!I82"")+IMPORTRANGE(""https://docs.google.com/spreadsheets/d/17HrOaa5pBUI1onckFfumXB8xlg35qb2uBAFfF1D-Myo/edit?usp=share_link"",""สุโ"&amp;"ขทัย!I82"")+IMPORTRANGE(""https://docs.google.com/spreadsheets/d/1ubs5cl16eYL9gHbdHTJtmtYb9MGzHBs7CAphn8kNCgM/edit?usp=share_link"",""อุตรดิตถ์!I82"")+IMPORTRANGE(""https://docs.google.com/spreadsheets/d/1kII0BjS6CtVrBvI8IrytgPdxDrlyQDyigzMsohRtDMs/edit?u"&amp;"sp=share_link"",""อุทัยธานี!I82"")
"),3)</f>
        <v>3</v>
      </c>
      <c r="J82" s="183">
        <f ca="1">IFERROR(__xludf.DUMMYFUNCTION("IMPORTRANGE(""https://docs.google.com/spreadsheets/d/1KxicF4apzSqm0-jIpmueT4kyZtE-Cwn5zskl7GD4loQ/edit?usp=share_link"",""กำแพงเพชร!J82"")+IMPORTRANGE(""https://docs.google.com/spreadsheets/d/1ZNYWeiFoFA1K1U4xKWqRX29MBvEyRHXORjo734Gnq_c/edit?usp=share_lin"&amp;"k"",""เชียงราย!J82"")
+IMPORTRANGE(""https://docs.google.com/spreadsheets/d/1Jgv0Y7YlHDtsiDawwp-uvifEJ8HVaSn0k2aGHG8-hwM/edit?usp=share_link"",""เชียงใหม่!J82"")+IMPORTRANGE(""https://docs.google.com/spreadsheets/d/1JWG2rZePOz9pe-f-ObA-yDr0VoOX2kSb0qIix2m"&amp;"TUo8/edit?usp=share_link"",""ตาก!J82"")+IMPORTRANGE(""https://docs.google.com/spreadsheets/d/10nSRjK08hx8Y6HgSOQKNw81lyY46Zc7U_Cj72hBMp9U/edit?usp=share_link"",""นครสวรรค์!J82"")+IMPORTRANGE(""https://docs.google.com/spreadsheets/d/1gFVb7qd7amutrIxAAoM7lc"&amp;"y35hllxznovot8lyOfvDo/edit?usp=share_link"",""น่าน!J82"")+IMPORTRANGE(""https://docs.google.com/spreadsheets/d/1K0Aa9s-6EuHE5M0FG1F9aHLXRCOV917xvycTdLdct0w/edit?usp=share_link"",""พะเยา!J82"")+IMPORTRANGE(""https://docs.google.com/spreadsheets/d/1Y9LPKx95"&amp;"PyL5OKy09d-KbKJSuuEZCFdkhYjwC0XQjBA/edit?usp=share_link"",""พิจิตร!J82"")+IMPORTRANGE(""https://docs.google.com/spreadsheets/d/16OMuOwy2eVqZcYWOouQtTpa8X1L23h4660uVHc0C8os/edit?usp=share_link"",""พิษณุโลก!J82"")+IMPORTRANGE(""https://docs.google.com/sprea"&amp;"dsheets/d/1GfgTldLG6k77HXaMQzaafODklYuucJZQNs_GAPEfZyY/edit?usp=share_link"",""เพชรบูรณ์!J82"")+IMPORTRANGE(""https://docs.google.com/spreadsheets/d/1gvTMYAnm7v1yG1BKWFtr0DnaTsq59oW9dwWvFgq6hs0/edit?usp=share_link"",""แพร่!J82"")+IMPORTRANGE(""https://doc"&amp;"s.google.com/spreadsheets/d/1Wbcosgy-Xa1xXUArJSOenub6EfZHUSzc_bpJFWwQUf0/edit?usp=share_link"",""แม่ฮ่องสอน!J82"")+IMPORTRANGE(""https://docs.google.com/spreadsheets/d/1p7ERhsr0qZeSn-KSOdeHS9r0heI-lHtkcn2OH7hP0jQ/edit?usp=share_link"",""ลำปาง!J82"")+IMPOR"&amp;"TRANGE(""https://docs.google.com/spreadsheets/d/1-uUXvimVhiU2U0bMN-xi2te0tS4X7DI2GLPnMjzl8cA/edit?usp=share_link"",""ลำพูน!J82"")+IMPORTRANGE(""https://docs.google.com/spreadsheets/d/17HrOaa5pBUI1onckFfumXB8xlg35qb2uBAFfF1D-Myo/edit?usp=share_link"",""สุโ"&amp;"ขทัย!J82"")+IMPORTRANGE(""https://docs.google.com/spreadsheets/d/1ubs5cl16eYL9gHbdHTJtmtYb9MGzHBs7CAphn8kNCgM/edit?usp=share_link"",""อุตรดิตถ์!J82"")+IMPORTRANGE(""https://docs.google.com/spreadsheets/d/1kII0BjS6CtVrBvI8IrytgPdxDrlyQDyigzMsohRtDMs/edit?u"&amp;"sp=share_link"",""อุทัยธานี!J82"")
"),2)</f>
        <v>2</v>
      </c>
      <c r="K82" s="163">
        <f t="shared" ca="1" si="61"/>
        <v>66.666666666666671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xicF4apzSqm0-jIpmueT4kyZtE-Cwn5zskl7GD4loQ/edit?usp=share_link"",""กำแพงเพชร!I83"")+IMPORTRANGE(""https://docs.google.com/spreadsheets/d/1ZNYWeiFoFA1K1U4xKWqRX29MBvEyRHXORjo734Gnq_c/edit?usp=share_lin"&amp;"k"",""เชียงราย!I83"")
+IMPORTRANGE(""https://docs.google.com/spreadsheets/d/1Jgv0Y7YlHDtsiDawwp-uvifEJ8HVaSn0k2aGHG8-hwM/edit?usp=share_link"",""เชียงใหม่!I83"")+IMPORTRANGE(""https://docs.google.com/spreadsheets/d/1JWG2rZePOz9pe-f-ObA-yDr0VoOX2kSb0qIix2m"&amp;"TUo8/edit?usp=share_link"",""ตาก!I83"")+IMPORTRANGE(""https://docs.google.com/spreadsheets/d/10nSRjK08hx8Y6HgSOQKNw81lyY46Zc7U_Cj72hBMp9U/edit?usp=share_link"",""นครสวรรค์!I83"")+IMPORTRANGE(""https://docs.google.com/spreadsheets/d/1gFVb7qd7amutrIxAAoM7lc"&amp;"y35hllxznovot8lyOfvDo/edit?usp=share_link"",""น่าน!I83"")+IMPORTRANGE(""https://docs.google.com/spreadsheets/d/1K0Aa9s-6EuHE5M0FG1F9aHLXRCOV917xvycTdLdct0w/edit?usp=share_link"",""พะเยา!I83"")+IMPORTRANGE(""https://docs.google.com/spreadsheets/d/1Y9LPKx95"&amp;"PyL5OKy09d-KbKJSuuEZCFdkhYjwC0XQjBA/edit?usp=share_link"",""พิจิตร!I83"")+IMPORTRANGE(""https://docs.google.com/spreadsheets/d/16OMuOwy2eVqZcYWOouQtTpa8X1L23h4660uVHc0C8os/edit?usp=share_link"",""พิษณุโลก!I83"")+IMPORTRANGE(""https://docs.google.com/sprea"&amp;"dsheets/d/1GfgTldLG6k77HXaMQzaafODklYuucJZQNs_GAPEfZyY/edit?usp=share_link"",""เพชรบูรณ์!I83"")+IMPORTRANGE(""https://docs.google.com/spreadsheets/d/1gvTMYAnm7v1yG1BKWFtr0DnaTsq59oW9dwWvFgq6hs0/edit?usp=share_link"",""แพร่!I83"")+IMPORTRANGE(""https://doc"&amp;"s.google.com/spreadsheets/d/1Wbcosgy-Xa1xXUArJSOenub6EfZHUSzc_bpJFWwQUf0/edit?usp=share_link"",""แม่ฮ่องสอน!I83"")+IMPORTRANGE(""https://docs.google.com/spreadsheets/d/1p7ERhsr0qZeSn-KSOdeHS9r0heI-lHtkcn2OH7hP0jQ/edit?usp=share_link"",""ลำปาง!I83"")+IMPOR"&amp;"TRANGE(""https://docs.google.com/spreadsheets/d/1-uUXvimVhiU2U0bMN-xi2te0tS4X7DI2GLPnMjzl8cA/edit?usp=share_link"",""ลำพูน!I83"")+IMPORTRANGE(""https://docs.google.com/spreadsheets/d/17HrOaa5pBUI1onckFfumXB8xlg35qb2uBAFfF1D-Myo/edit?usp=share_link"",""สุโ"&amp;"ขทัย!I83"")+IMPORTRANGE(""https://docs.google.com/spreadsheets/d/1ubs5cl16eYL9gHbdHTJtmtYb9MGzHBs7CAphn8kNCgM/edit?usp=share_link"",""อุตรดิตถ์!I83"")+IMPORTRANGE(""https://docs.google.com/spreadsheets/d/1kII0BjS6CtVrBvI8IrytgPdxDrlyQDyigzMsohRtDMs/edit?u"&amp;"sp=share_link"",""อุทัยธานี!I83"")
"),150)</f>
        <v>150</v>
      </c>
      <c r="J83" s="183">
        <f ca="1">IFERROR(__xludf.DUMMYFUNCTION("IMPORTRANGE(""https://docs.google.com/spreadsheets/d/1KxicF4apzSqm0-jIpmueT4kyZtE-Cwn5zskl7GD4loQ/edit?usp=share_link"",""กำแพงเพชร!J83"")+IMPORTRANGE(""https://docs.google.com/spreadsheets/d/1ZNYWeiFoFA1K1U4xKWqRX29MBvEyRHXORjo734Gnq_c/edit?usp=share_lin"&amp;"k"",""เชียงราย!J83"")
+IMPORTRANGE(""https://docs.google.com/spreadsheets/d/1Jgv0Y7YlHDtsiDawwp-uvifEJ8HVaSn0k2aGHG8-hwM/edit?usp=share_link"",""เชียงใหม่!J83"")+IMPORTRANGE(""https://docs.google.com/spreadsheets/d/1JWG2rZePOz9pe-f-ObA-yDr0VoOX2kSb0qIix2m"&amp;"TUo8/edit?usp=share_link"",""ตาก!J83"")+IMPORTRANGE(""https://docs.google.com/spreadsheets/d/10nSRjK08hx8Y6HgSOQKNw81lyY46Zc7U_Cj72hBMp9U/edit?usp=share_link"",""นครสวรรค์!J83"")+IMPORTRANGE(""https://docs.google.com/spreadsheets/d/1gFVb7qd7amutrIxAAoM7lc"&amp;"y35hllxznovot8lyOfvDo/edit?usp=share_link"",""น่าน!J83"")+IMPORTRANGE(""https://docs.google.com/spreadsheets/d/1K0Aa9s-6EuHE5M0FG1F9aHLXRCOV917xvycTdLdct0w/edit?usp=share_link"",""พะเยา!J83"")+IMPORTRANGE(""https://docs.google.com/spreadsheets/d/1Y9LPKx95"&amp;"PyL5OKy09d-KbKJSuuEZCFdkhYjwC0XQjBA/edit?usp=share_link"",""พิจิตร!J83"")+IMPORTRANGE(""https://docs.google.com/spreadsheets/d/16OMuOwy2eVqZcYWOouQtTpa8X1L23h4660uVHc0C8os/edit?usp=share_link"",""พิษณุโลก!J83"")+IMPORTRANGE(""https://docs.google.com/sprea"&amp;"dsheets/d/1GfgTldLG6k77HXaMQzaafODklYuucJZQNs_GAPEfZyY/edit?usp=share_link"",""เพชรบูรณ์!J83"")+IMPORTRANGE(""https://docs.google.com/spreadsheets/d/1gvTMYAnm7v1yG1BKWFtr0DnaTsq59oW9dwWvFgq6hs0/edit?usp=share_link"",""แพร่!J83"")+IMPORTRANGE(""https://doc"&amp;"s.google.com/spreadsheets/d/1Wbcosgy-Xa1xXUArJSOenub6EfZHUSzc_bpJFWwQUf0/edit?usp=share_link"",""แม่ฮ่องสอน!J83"")+IMPORTRANGE(""https://docs.google.com/spreadsheets/d/1p7ERhsr0qZeSn-KSOdeHS9r0heI-lHtkcn2OH7hP0jQ/edit?usp=share_link"",""ลำปาง!J83"")+IMPOR"&amp;"TRANGE(""https://docs.google.com/spreadsheets/d/1-uUXvimVhiU2U0bMN-xi2te0tS4X7DI2GLPnMjzl8cA/edit?usp=share_link"",""ลำพูน!J83"")+IMPORTRANGE(""https://docs.google.com/spreadsheets/d/17HrOaa5pBUI1onckFfumXB8xlg35qb2uBAFfF1D-Myo/edit?usp=share_link"",""สุโ"&amp;"ขทัย!J83"")+IMPORTRANGE(""https://docs.google.com/spreadsheets/d/1ubs5cl16eYL9gHbdHTJtmtYb9MGzHBs7CAphn8kNCgM/edit?usp=share_link"",""อุตรดิตถ์!J83"")+IMPORTRANGE(""https://docs.google.com/spreadsheets/d/1kII0BjS6CtVrBvI8IrytgPdxDrlyQDyigzMsohRtDMs/edit?u"&amp;"sp=share_link"",""อุทัยธานี!J83"")
"),141)</f>
        <v>141</v>
      </c>
      <c r="K83" s="163">
        <f t="shared" ca="1" si="61"/>
        <v>94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xicF4apzSqm0-jIpmueT4kyZtE-Cwn5zskl7GD4loQ/edit?usp=share_link"",""กำแพงเพชร!I84"")+IMPORTRANGE(""https://docs.google.com/spreadsheets/d/1ZNYWeiFoFA1K1U4xKWqRX29MBvEyRHXORjo734Gnq_c/edit?usp=share_lin"&amp;"k"",""เชียงราย!I84"")
+IMPORTRANGE(""https://docs.google.com/spreadsheets/d/1Jgv0Y7YlHDtsiDawwp-uvifEJ8HVaSn0k2aGHG8-hwM/edit?usp=share_link"",""เชียงใหม่!I84"")+IMPORTRANGE(""https://docs.google.com/spreadsheets/d/1JWG2rZePOz9pe-f-ObA-yDr0VoOX2kSb0qIix2m"&amp;"TUo8/edit?usp=share_link"",""ตาก!I84"")+IMPORTRANGE(""https://docs.google.com/spreadsheets/d/10nSRjK08hx8Y6HgSOQKNw81lyY46Zc7U_Cj72hBMp9U/edit?usp=share_link"",""นครสวรรค์!I84"")+IMPORTRANGE(""https://docs.google.com/spreadsheets/d/1gFVb7qd7amutrIxAAoM7lc"&amp;"y35hllxznovot8lyOfvDo/edit?usp=share_link"",""น่าน!I84"")+IMPORTRANGE(""https://docs.google.com/spreadsheets/d/1K0Aa9s-6EuHE5M0FG1F9aHLXRCOV917xvycTdLdct0w/edit?usp=share_link"",""พะเยา!I84"")+IMPORTRANGE(""https://docs.google.com/spreadsheets/d/1Y9LPKx95"&amp;"PyL5OKy09d-KbKJSuuEZCFdkhYjwC0XQjBA/edit?usp=share_link"",""พิจิตร!I84"")+IMPORTRANGE(""https://docs.google.com/spreadsheets/d/16OMuOwy2eVqZcYWOouQtTpa8X1L23h4660uVHc0C8os/edit?usp=share_link"",""พิษณุโลก!I84"")+IMPORTRANGE(""https://docs.google.com/sprea"&amp;"dsheets/d/1GfgTldLG6k77HXaMQzaafODklYuucJZQNs_GAPEfZyY/edit?usp=share_link"",""เพชรบูรณ์!I84"")+IMPORTRANGE(""https://docs.google.com/spreadsheets/d/1gvTMYAnm7v1yG1BKWFtr0DnaTsq59oW9dwWvFgq6hs0/edit?usp=share_link"",""แพร่!I84"")+IMPORTRANGE(""https://doc"&amp;"s.google.com/spreadsheets/d/1Wbcosgy-Xa1xXUArJSOenub6EfZHUSzc_bpJFWwQUf0/edit?usp=share_link"",""แม่ฮ่องสอน!I84"")+IMPORTRANGE(""https://docs.google.com/spreadsheets/d/1p7ERhsr0qZeSn-KSOdeHS9r0heI-lHtkcn2OH7hP0jQ/edit?usp=share_link"",""ลำปาง!I84"")+IMPOR"&amp;"TRANGE(""https://docs.google.com/spreadsheets/d/1-uUXvimVhiU2U0bMN-xi2te0tS4X7DI2GLPnMjzl8cA/edit?usp=share_link"",""ลำพูน!I84"")+IMPORTRANGE(""https://docs.google.com/spreadsheets/d/17HrOaa5pBUI1onckFfumXB8xlg35qb2uBAFfF1D-Myo/edit?usp=share_link"",""สุโ"&amp;"ขทัย!I84"")+IMPORTRANGE(""https://docs.google.com/spreadsheets/d/1ubs5cl16eYL9gHbdHTJtmtYb9MGzHBs7CAphn8kNCgM/edit?usp=share_link"",""อุตรดิตถ์!I84"")+IMPORTRANGE(""https://docs.google.com/spreadsheets/d/1kII0BjS6CtVrBvI8IrytgPdxDrlyQDyigzMsohRtDMs/edit?u"&amp;"sp=share_link"",""อุทัยธานี!I84"")
"),11)</f>
        <v>11</v>
      </c>
      <c r="J84" s="183">
        <f ca="1">IFERROR(__xludf.DUMMYFUNCTION("IMPORTRANGE(""https://docs.google.com/spreadsheets/d/1KxicF4apzSqm0-jIpmueT4kyZtE-Cwn5zskl7GD4loQ/edit?usp=share_link"",""กำแพงเพชร!J84"")+IMPORTRANGE(""https://docs.google.com/spreadsheets/d/1ZNYWeiFoFA1K1U4xKWqRX29MBvEyRHXORjo734Gnq_c/edit?usp=share_lin"&amp;"k"",""เชียงราย!J84"")
+IMPORTRANGE(""https://docs.google.com/spreadsheets/d/1Jgv0Y7YlHDtsiDawwp-uvifEJ8HVaSn0k2aGHG8-hwM/edit?usp=share_link"",""เชียงใหม่!J84"")+IMPORTRANGE(""https://docs.google.com/spreadsheets/d/1JWG2rZePOz9pe-f-ObA-yDr0VoOX2kSb0qIix2m"&amp;"TUo8/edit?usp=share_link"",""ตาก!J84"")+IMPORTRANGE(""https://docs.google.com/spreadsheets/d/10nSRjK08hx8Y6HgSOQKNw81lyY46Zc7U_Cj72hBMp9U/edit?usp=share_link"",""นครสวรรค์!J84"")+IMPORTRANGE(""https://docs.google.com/spreadsheets/d/1gFVb7qd7amutrIxAAoM7lc"&amp;"y35hllxznovot8lyOfvDo/edit?usp=share_link"",""น่าน!J84"")+IMPORTRANGE(""https://docs.google.com/spreadsheets/d/1K0Aa9s-6EuHE5M0FG1F9aHLXRCOV917xvycTdLdct0w/edit?usp=share_link"",""พะเยา!J84"")+IMPORTRANGE(""https://docs.google.com/spreadsheets/d/1Y9LPKx95"&amp;"PyL5OKy09d-KbKJSuuEZCFdkhYjwC0XQjBA/edit?usp=share_link"",""พิจิตร!J84"")+IMPORTRANGE(""https://docs.google.com/spreadsheets/d/16OMuOwy2eVqZcYWOouQtTpa8X1L23h4660uVHc0C8os/edit?usp=share_link"",""พิษณุโลก!J84"")+IMPORTRANGE(""https://docs.google.com/sprea"&amp;"dsheets/d/1GfgTldLG6k77HXaMQzaafODklYuucJZQNs_GAPEfZyY/edit?usp=share_link"",""เพชรบูรณ์!J84"")+IMPORTRANGE(""https://docs.google.com/spreadsheets/d/1gvTMYAnm7v1yG1BKWFtr0DnaTsq59oW9dwWvFgq6hs0/edit?usp=share_link"",""แพร่!J84"")+IMPORTRANGE(""https://doc"&amp;"s.google.com/spreadsheets/d/1Wbcosgy-Xa1xXUArJSOenub6EfZHUSzc_bpJFWwQUf0/edit?usp=share_link"",""แม่ฮ่องสอน!J84"")+IMPORTRANGE(""https://docs.google.com/spreadsheets/d/1p7ERhsr0qZeSn-KSOdeHS9r0heI-lHtkcn2OH7hP0jQ/edit?usp=share_link"",""ลำปาง!J84"")+IMPOR"&amp;"TRANGE(""https://docs.google.com/spreadsheets/d/1-uUXvimVhiU2U0bMN-xi2te0tS4X7DI2GLPnMjzl8cA/edit?usp=share_link"",""ลำพูน!J84"")+IMPORTRANGE(""https://docs.google.com/spreadsheets/d/17HrOaa5pBUI1onckFfumXB8xlg35qb2uBAFfF1D-Myo/edit?usp=share_link"",""สุโ"&amp;"ขทัย!J84"")+IMPORTRANGE(""https://docs.google.com/spreadsheets/d/1ubs5cl16eYL9gHbdHTJtmtYb9MGzHBs7CAphn8kNCgM/edit?usp=share_link"",""อุตรดิตถ์!J84"")+IMPORTRANGE(""https://docs.google.com/spreadsheets/d/1kII0BjS6CtVrBvI8IrytgPdxDrlyQDyigzMsohRtDMs/edit?u"&amp;"sp=share_link"",""อุทัยธานี!J84"")
"),0)</f>
        <v>0</v>
      </c>
      <c r="K84" s="163">
        <f t="shared" ca="1" si="61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975</v>
      </c>
      <c r="J86" s="144">
        <f t="shared" ca="1" si="62"/>
        <v>750</v>
      </c>
      <c r="K86" s="145">
        <f t="shared" ref="K86:K87" ca="1" si="63">IF(I86&gt;0,J86*100/I86,0)</f>
        <v>76.92307692307692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325</v>
      </c>
      <c r="J87" s="144">
        <f t="shared" ca="1" si="64"/>
        <v>295</v>
      </c>
      <c r="K87" s="145">
        <f t="shared" ca="1" si="63"/>
        <v>90.769230769230774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2616900</v>
      </c>
      <c r="M88" s="155">
        <f t="shared" ca="1" si="65"/>
        <v>2007650</v>
      </c>
      <c r="N88" s="155">
        <f t="shared" ca="1" si="65"/>
        <v>1095265.95</v>
      </c>
      <c r="O88" s="155">
        <f t="shared" ref="O88:O96" ca="1" si="66">IF(L88&gt;0,N88*100/L88,0)</f>
        <v>41.853565287171847</v>
      </c>
      <c r="P88" s="155">
        <f t="shared" ref="P88:P96" ca="1" si="67">IF(M88&gt;0,N88*100/M88,0)</f>
        <v>54.554626055338332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2616900</v>
      </c>
      <c r="M90" s="45">
        <f t="shared" ca="1" si="69"/>
        <v>2007650</v>
      </c>
      <c r="N90" s="45">
        <f t="shared" ca="1" si="69"/>
        <v>1095265.95</v>
      </c>
      <c r="O90" s="45">
        <f t="shared" ca="1" si="66"/>
        <v>41.853565287171847</v>
      </c>
      <c r="P90" s="45">
        <f t="shared" ca="1" si="67"/>
        <v>54.554626055338332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2616900</v>
      </c>
      <c r="M91" s="38">
        <f t="shared" ca="1" si="70"/>
        <v>2007650</v>
      </c>
      <c r="N91" s="38">
        <f t="shared" ca="1" si="70"/>
        <v>1095265.95</v>
      </c>
      <c r="O91" s="38">
        <f t="shared" ca="1" si="66"/>
        <v>41.853565287171847</v>
      </c>
      <c r="P91" s="38">
        <f t="shared" ca="1" si="67"/>
        <v>54.554626055338332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xicF4apzSqm0-jIpmueT4kyZtE-Cwn5zskl7GD4loQ/edit?usp=share_link"",""กำแพงเพชร!l93"")+IMPORTRANGE(""https://docs.google.com/spreadsheets/d/1ZNYWeiFoFA1K1U4xKWqRX29MBvEyRHXORjo734Gnq_c/edit?usp=share_lin"&amp;"k"",""เชียงราย!l93"")
+IMPORTRANGE(""https://docs.google.com/spreadsheets/d/1Jgv0Y7YlHDtsiDawwp-uvifEJ8HVaSn0k2aGHG8-hwM/edit?usp=share_link"",""เชียงใหม่!l93"")+IMPORTRANGE(""https://docs.google.com/spreadsheets/d/1JWG2rZePOz9pe-f-ObA-yDr0VoOX2kSb0qIix2m"&amp;"TUo8/edit?usp=share_link"",""ตาก!l93"")+IMPORTRANGE(""https://docs.google.com/spreadsheets/d/10nSRjK08hx8Y6HgSOQKNw81lyY46Zc7U_Cj72hBMp9U/edit?usp=share_link"",""นครสวรรค์!l93"")+IMPORTRANGE(""https://docs.google.com/spreadsheets/d/1gFVb7qd7amutrIxAAoM7lc"&amp;"y35hllxznovot8lyOfvDo/edit?usp=share_link"",""น่าน!l93"")+IMPORTRANGE(""https://docs.google.com/spreadsheets/d/1K0Aa9s-6EuHE5M0FG1F9aHLXRCOV917xvycTdLdct0w/edit?usp=share_link"",""พะเยา!l93"")+IMPORTRANGE(""https://docs.google.com/spreadsheets/d/1Y9LPKx95"&amp;"PyL5OKy09d-KbKJSuuEZCFdkhYjwC0XQjBA/edit?usp=share_link"",""พิจิตร!l93"")+IMPORTRANGE(""https://docs.google.com/spreadsheets/d/16OMuOwy2eVqZcYWOouQtTpa8X1L23h4660uVHc0C8os/edit?usp=share_link"",""พิษณุโลก!l93"")+IMPORTRANGE(""https://docs.google.com/sprea"&amp;"dsheets/d/1GfgTldLG6k77HXaMQzaafODklYuucJZQNs_GAPEfZyY/edit?usp=share_link"",""เพชรบูรณ์!l93"")+IMPORTRANGE(""https://docs.google.com/spreadsheets/d/1gvTMYAnm7v1yG1BKWFtr0DnaTsq59oW9dwWvFgq6hs0/edit?usp=share_link"",""แพร่!l93"")+IMPORTRANGE(""https://doc"&amp;"s.google.com/spreadsheets/d/1Wbcosgy-Xa1xXUArJSOenub6EfZHUSzc_bpJFWwQUf0/edit?usp=share_link"",""แม่ฮ่องสอน!l93"")+IMPORTRANGE(""https://docs.google.com/spreadsheets/d/1p7ERhsr0qZeSn-KSOdeHS9r0heI-lHtkcn2OH7hP0jQ/edit?usp=share_link"",""ลำปาง!l93"")+IMPOR"&amp;"TRANGE(""https://docs.google.com/spreadsheets/d/1-uUXvimVhiU2U0bMN-xi2te0tS4X7DI2GLPnMjzl8cA/edit?usp=share_link"",""ลำพูน!l93"")+IMPORTRANGE(""https://docs.google.com/spreadsheets/d/17HrOaa5pBUI1onckFfumXB8xlg35qb2uBAFfF1D-Myo/edit?usp=share_link"",""สุโ"&amp;"ขทัย!l93"")+IMPORTRANGE(""https://docs.google.com/spreadsheets/d/1ubs5cl16eYL9gHbdHTJtmtYb9MGzHBs7CAphn8kNCgM/edit?usp=share_link"",""อุตรดิตถ์!l93"")+IMPORTRANGE(""https://docs.google.com/spreadsheets/d/1kII0BjS6CtVrBvI8IrytgPdxDrlyQDyigzMsohRtDMs/edit?u"&amp;"sp=share_link"",""อุทัยธานี!l93"")
"),2616900)</f>
        <v>2616900</v>
      </c>
      <c r="M93" s="45">
        <f ca="1">IFERROR(__xludf.DUMMYFUNCTION("IMPORTRANGE(""https://docs.google.com/spreadsheets/d/1KxicF4apzSqm0-jIpmueT4kyZtE-Cwn5zskl7GD4loQ/edit?usp=share_link"",""กำแพงเพชร!m93"")+IMPORTRANGE(""https://docs.google.com/spreadsheets/d/1ZNYWeiFoFA1K1U4xKWqRX29MBvEyRHXORjo734Gnq_c/edit?usp=share_lin"&amp;"k"",""เชียงราย!m93"")
+IMPORTRANGE(""https://docs.google.com/spreadsheets/d/1Jgv0Y7YlHDtsiDawwp-uvifEJ8HVaSn0k2aGHG8-hwM/edit?usp=share_link"",""เชียงใหม่!m93"")+IMPORTRANGE(""https://docs.google.com/spreadsheets/d/1JWG2rZePOz9pe-f-ObA-yDr0VoOX2kSb0qIix2m"&amp;"TUo8/edit?usp=share_link"",""ตาก!m93"")+IMPORTRANGE(""https://docs.google.com/spreadsheets/d/10nSRjK08hx8Y6HgSOQKNw81lyY46Zc7U_Cj72hBMp9U/edit?usp=share_link"",""นครสวรรค์!m93"")+IMPORTRANGE(""https://docs.google.com/spreadsheets/d/1gFVb7qd7amutrIxAAoM7lc"&amp;"y35hllxznovot8lyOfvDo/edit?usp=share_link"",""น่าน!m93"")+IMPORTRANGE(""https://docs.google.com/spreadsheets/d/1K0Aa9s-6EuHE5M0FG1F9aHLXRCOV917xvycTdLdct0w/edit?usp=share_link"",""พะเยา!m93"")+IMPORTRANGE(""https://docs.google.com/spreadsheets/d/1Y9LPKx95"&amp;"PyL5OKy09d-KbKJSuuEZCFdkhYjwC0XQjBA/edit?usp=share_link"",""พิจิตร!m93"")+IMPORTRANGE(""https://docs.google.com/spreadsheets/d/16OMuOwy2eVqZcYWOouQtTpa8X1L23h4660uVHc0C8os/edit?usp=share_link"",""พิษณุโลก!m93"")+IMPORTRANGE(""https://docs.google.com/sprea"&amp;"dsheets/d/1GfgTldLG6k77HXaMQzaafODklYuucJZQNs_GAPEfZyY/edit?usp=share_link"",""เพชรบูรณ์!m93"")+IMPORTRANGE(""https://docs.google.com/spreadsheets/d/1gvTMYAnm7v1yG1BKWFtr0DnaTsq59oW9dwWvFgq6hs0/edit?usp=share_link"",""แพร่!m93"")+IMPORTRANGE(""https://doc"&amp;"s.google.com/spreadsheets/d/1Wbcosgy-Xa1xXUArJSOenub6EfZHUSzc_bpJFWwQUf0/edit?usp=share_link"",""แม่ฮ่องสอน!m93"")+IMPORTRANGE(""https://docs.google.com/spreadsheets/d/1p7ERhsr0qZeSn-KSOdeHS9r0heI-lHtkcn2OH7hP0jQ/edit?usp=share_link"",""ลำปาง!m93"")+IMPOR"&amp;"TRANGE(""https://docs.google.com/spreadsheets/d/1-uUXvimVhiU2U0bMN-xi2te0tS4X7DI2GLPnMjzl8cA/edit?usp=share_link"",""ลำพูน!m93"")+IMPORTRANGE(""https://docs.google.com/spreadsheets/d/17HrOaa5pBUI1onckFfumXB8xlg35qb2uBAFfF1D-Myo/edit?usp=share_link"",""สุโ"&amp;"ขทัย!m93"")+IMPORTRANGE(""https://docs.google.com/spreadsheets/d/1ubs5cl16eYL9gHbdHTJtmtYb9MGzHBs7CAphn8kNCgM/edit?usp=share_link"",""อุตรดิตถ์!m93"")+IMPORTRANGE(""https://docs.google.com/spreadsheets/d/1kII0BjS6CtVrBvI8IrytgPdxDrlyQDyigzMsohRtDMs/edit?u"&amp;"sp=share_link"",""อุทัยธานี!m93"")
"),2007650)</f>
        <v>2007650</v>
      </c>
      <c r="N93" s="45">
        <f ca="1">IFERROR(__xludf.DUMMYFUNCTION("IMPORTRANGE(""https://docs.google.com/spreadsheets/d/1KxicF4apzSqm0-jIpmueT4kyZtE-Cwn5zskl7GD4loQ/edit?usp=share_link"",""กำแพงเพชร!n93"")+IMPORTRANGE(""https://docs.google.com/spreadsheets/d/1ZNYWeiFoFA1K1U4xKWqRX29MBvEyRHXORjo734Gnq_c/edit?usp=share_lin"&amp;"k"",""เชียงราย!n93"")
+IMPORTRANGE(""https://docs.google.com/spreadsheets/d/1Jgv0Y7YlHDtsiDawwp-uvifEJ8HVaSn0k2aGHG8-hwM/edit?usp=share_link"",""เชียงใหม่!n93"")+IMPORTRANGE(""https://docs.google.com/spreadsheets/d/1JWG2rZePOz9pe-f-ObA-yDr0VoOX2kSb0qIix2m"&amp;"TUo8/edit?usp=share_link"",""ตาก!n93"")+IMPORTRANGE(""https://docs.google.com/spreadsheets/d/10nSRjK08hx8Y6HgSOQKNw81lyY46Zc7U_Cj72hBMp9U/edit?usp=share_link"",""นครสวรรค์!n93"")+IMPORTRANGE(""https://docs.google.com/spreadsheets/d/1gFVb7qd7amutrIxAAoM7lc"&amp;"y35hllxznovot8lyOfvDo/edit?usp=share_link"",""น่าน!n93"")+IMPORTRANGE(""https://docs.google.com/spreadsheets/d/1K0Aa9s-6EuHE5M0FG1F9aHLXRCOV917xvycTdLdct0w/edit?usp=share_link"",""พะเยา!n93"")+IMPORTRANGE(""https://docs.google.com/spreadsheets/d/1Y9LPKx95"&amp;"PyL5OKy09d-KbKJSuuEZCFdkhYjwC0XQjBA/edit?usp=share_link"",""พิจิตร!n93"")+IMPORTRANGE(""https://docs.google.com/spreadsheets/d/16OMuOwy2eVqZcYWOouQtTpa8X1L23h4660uVHc0C8os/edit?usp=share_link"",""พิษณุโลก!n93"")+IMPORTRANGE(""https://docs.google.com/sprea"&amp;"dsheets/d/1GfgTldLG6k77HXaMQzaafODklYuucJZQNs_GAPEfZyY/edit?usp=share_link"",""เพชรบูรณ์!n93"")+IMPORTRANGE(""https://docs.google.com/spreadsheets/d/1gvTMYAnm7v1yG1BKWFtr0DnaTsq59oW9dwWvFgq6hs0/edit?usp=share_link"",""แพร่!n93"")+IMPORTRANGE(""https://doc"&amp;"s.google.com/spreadsheets/d/1Wbcosgy-Xa1xXUArJSOenub6EfZHUSzc_bpJFWwQUf0/edit?usp=share_link"",""แม่ฮ่องสอน!n93"")+IMPORTRANGE(""https://docs.google.com/spreadsheets/d/1p7ERhsr0qZeSn-KSOdeHS9r0heI-lHtkcn2OH7hP0jQ/edit?usp=share_link"",""ลำปาง!n93"")+IMPOR"&amp;"TRANGE(""https://docs.google.com/spreadsheets/d/1-uUXvimVhiU2U0bMN-xi2te0tS4X7DI2GLPnMjzl8cA/edit?usp=share_link"",""ลำพูน!n93"")+IMPORTRANGE(""https://docs.google.com/spreadsheets/d/17HrOaa5pBUI1onckFfumXB8xlg35qb2uBAFfF1D-Myo/edit?usp=share_link"",""สุโ"&amp;"ขทัย!n93"")+IMPORTRANGE(""https://docs.google.com/spreadsheets/d/1ubs5cl16eYL9gHbdHTJtmtYb9MGzHBs7CAphn8kNCgM/edit?usp=share_link"",""อุตรดิตถ์!n93"")+IMPORTRANGE(""https://docs.google.com/spreadsheets/d/1kII0BjS6CtVrBvI8IrytgPdxDrlyQDyigzMsohRtDMs/edit?u"&amp;"sp=share_link"",""อุทัยธานี!n93"")
"),1095265.95)</f>
        <v>1095265.95</v>
      </c>
      <c r="O93" s="45">
        <f t="shared" ca="1" si="66"/>
        <v>41.853565287171847</v>
      </c>
      <c r="P93" s="45">
        <f t="shared" ca="1" si="67"/>
        <v>54.554626055338332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xicF4apzSqm0-jIpmueT4kyZtE-Cwn5zskl7GD4loQ/edit?usp=share_link"",""กำแพงเพชร!l96"")+IMPORTRANGE(""https://docs.google.com/spreadsheets/d/1ZNYWeiFoFA1K1U4xKWqRX29MBvEyRHXORjo734Gnq_c/edit?usp=share_lin"&amp;"k"",""เชียงราย!l96"")
+IMPORTRANGE(""https://docs.google.com/spreadsheets/d/1Jgv0Y7YlHDtsiDawwp-uvifEJ8HVaSn0k2aGHG8-hwM/edit?usp=share_link"",""เชียงใหม่!l96"")+IMPORTRANGE(""https://docs.google.com/spreadsheets/d/1JWG2rZePOz9pe-f-ObA-yDr0VoOX2kSb0qIix2m"&amp;"TUo8/edit?usp=share_link"",""ตาก!l96"")+IMPORTRANGE(""https://docs.google.com/spreadsheets/d/10nSRjK08hx8Y6HgSOQKNw81lyY46Zc7U_Cj72hBMp9U/edit?usp=share_link"",""นครสวรรค์!l96"")+IMPORTRANGE(""https://docs.google.com/spreadsheets/d/1gFVb7qd7amutrIxAAoM7lc"&amp;"y35hllxznovot8lyOfvDo/edit?usp=share_link"",""น่าน!l96"")+IMPORTRANGE(""https://docs.google.com/spreadsheets/d/1K0Aa9s-6EuHE5M0FG1F9aHLXRCOV917xvycTdLdct0w/edit?usp=share_link"",""พะเยา!l96"")+IMPORTRANGE(""https://docs.google.com/spreadsheets/d/1Y9LPKx95"&amp;"PyL5OKy09d-KbKJSuuEZCFdkhYjwC0XQjBA/edit?usp=share_link"",""พิจิตร!l96"")+IMPORTRANGE(""https://docs.google.com/spreadsheets/d/16OMuOwy2eVqZcYWOouQtTpa8X1L23h4660uVHc0C8os/edit?usp=share_link"",""พิษณุโลก!l96"")+IMPORTRANGE(""https://docs.google.com/sprea"&amp;"dsheets/d/1GfgTldLG6k77HXaMQzaafODklYuucJZQNs_GAPEfZyY/edit?usp=share_link"",""เพชรบูรณ์!l96"")+IMPORTRANGE(""https://docs.google.com/spreadsheets/d/1gvTMYAnm7v1yG1BKWFtr0DnaTsq59oW9dwWvFgq6hs0/edit?usp=share_link"",""แพร่!l96"")+IMPORTRANGE(""https://doc"&amp;"s.google.com/spreadsheets/d/1Wbcosgy-Xa1xXUArJSOenub6EfZHUSzc_bpJFWwQUf0/edit?usp=share_link"",""แม่ฮ่องสอน!l96"")+IMPORTRANGE(""https://docs.google.com/spreadsheets/d/1p7ERhsr0qZeSn-KSOdeHS9r0heI-lHtkcn2OH7hP0jQ/edit?usp=share_link"",""ลำปาง!l96"")+IMPOR"&amp;"TRANGE(""https://docs.google.com/spreadsheets/d/1-uUXvimVhiU2U0bMN-xi2te0tS4X7DI2GLPnMjzl8cA/edit?usp=share_link"",""ลำพูน!l96"")+IMPORTRANGE(""https://docs.google.com/spreadsheets/d/17HrOaa5pBUI1onckFfumXB8xlg35qb2uBAFfF1D-Myo/edit?usp=share_link"",""สุโ"&amp;"ขทัย!l96"")+IMPORTRANGE(""https://docs.google.com/spreadsheets/d/1ubs5cl16eYL9gHbdHTJtmtYb9MGzHBs7CAphn8kNCgM/edit?usp=share_link"",""อุตรดิตถ์!l96"")+IMPORTRANGE(""https://docs.google.com/spreadsheets/d/1kII0BjS6CtVrBvI8IrytgPdxDrlyQDyigzMsohRtDMs/edit?u"&amp;"sp=share_link"",""อุทัยธานี!l96"")
"),0)</f>
        <v>0</v>
      </c>
      <c r="M96" s="45">
        <f ca="1">IFERROR(__xludf.DUMMYFUNCTION("IMPORTRANGE(""https://docs.google.com/spreadsheets/d/1KxicF4apzSqm0-jIpmueT4kyZtE-Cwn5zskl7GD4loQ/edit?usp=share_link"",""กำแพงเพชร!m96"")+IMPORTRANGE(""https://docs.google.com/spreadsheets/d/1ZNYWeiFoFA1K1U4xKWqRX29MBvEyRHXORjo734Gnq_c/edit?usp=share_lin"&amp;"k"",""เชียงราย!m96"")
+IMPORTRANGE(""https://docs.google.com/spreadsheets/d/1Jgv0Y7YlHDtsiDawwp-uvifEJ8HVaSn0k2aGHG8-hwM/edit?usp=share_link"",""เชียงใหม่!m96"")+IMPORTRANGE(""https://docs.google.com/spreadsheets/d/1JWG2rZePOz9pe-f-ObA-yDr0VoOX2kSb0qIix2m"&amp;"TUo8/edit?usp=share_link"",""ตาก!m96"")+IMPORTRANGE(""https://docs.google.com/spreadsheets/d/10nSRjK08hx8Y6HgSOQKNw81lyY46Zc7U_Cj72hBMp9U/edit?usp=share_link"",""นครสวรรค์!m96"")+IMPORTRANGE(""https://docs.google.com/spreadsheets/d/1gFVb7qd7amutrIxAAoM7lc"&amp;"y35hllxznovot8lyOfvDo/edit?usp=share_link"",""น่าน!m96"")+IMPORTRANGE(""https://docs.google.com/spreadsheets/d/1K0Aa9s-6EuHE5M0FG1F9aHLXRCOV917xvycTdLdct0w/edit?usp=share_link"",""พะเยา!m96"")+IMPORTRANGE(""https://docs.google.com/spreadsheets/d/1Y9LPKx95"&amp;"PyL5OKy09d-KbKJSuuEZCFdkhYjwC0XQjBA/edit?usp=share_link"",""พิจิตร!m96"")+IMPORTRANGE(""https://docs.google.com/spreadsheets/d/16OMuOwy2eVqZcYWOouQtTpa8X1L23h4660uVHc0C8os/edit?usp=share_link"",""พิษณุโลก!m96"")+IMPORTRANGE(""https://docs.google.com/sprea"&amp;"dsheets/d/1GfgTldLG6k77HXaMQzaafODklYuucJZQNs_GAPEfZyY/edit?usp=share_link"",""เพชรบูรณ์!m96"")+IMPORTRANGE(""https://docs.google.com/spreadsheets/d/1gvTMYAnm7v1yG1BKWFtr0DnaTsq59oW9dwWvFgq6hs0/edit?usp=share_link"",""แพร่!m96"")+IMPORTRANGE(""https://doc"&amp;"s.google.com/spreadsheets/d/1Wbcosgy-Xa1xXUArJSOenub6EfZHUSzc_bpJFWwQUf0/edit?usp=share_link"",""แม่ฮ่องสอน!m96"")+IMPORTRANGE(""https://docs.google.com/spreadsheets/d/1p7ERhsr0qZeSn-KSOdeHS9r0heI-lHtkcn2OH7hP0jQ/edit?usp=share_link"",""ลำปาง!m96"")+IMPOR"&amp;"TRANGE(""https://docs.google.com/spreadsheets/d/1-uUXvimVhiU2U0bMN-xi2te0tS4X7DI2GLPnMjzl8cA/edit?usp=share_link"",""ลำพูน!m96"")+IMPORTRANGE(""https://docs.google.com/spreadsheets/d/17HrOaa5pBUI1onckFfumXB8xlg35qb2uBAFfF1D-Myo/edit?usp=share_link"",""สุโ"&amp;"ขทัย!m96"")+IMPORTRANGE(""https://docs.google.com/spreadsheets/d/1ubs5cl16eYL9gHbdHTJtmtYb9MGzHBs7CAphn8kNCgM/edit?usp=share_link"",""อุตรดิตถ์!m96"")+IMPORTRANGE(""https://docs.google.com/spreadsheets/d/1kII0BjS6CtVrBvI8IrytgPdxDrlyQDyigzMsohRtDMs/edit?u"&amp;"sp=share_link"",""อุทัยธานี!m96"")
"),0)</f>
        <v>0</v>
      </c>
      <c r="N96" s="45">
        <f ca="1">IFERROR(__xludf.DUMMYFUNCTION("IMPORTRANGE(""https://docs.google.com/spreadsheets/d/1KxicF4apzSqm0-jIpmueT4kyZtE-Cwn5zskl7GD4loQ/edit?usp=share_link"",""กำแพงเพชร!n96"")+IMPORTRANGE(""https://docs.google.com/spreadsheets/d/1ZNYWeiFoFA1K1U4xKWqRX29MBvEyRHXORjo734Gnq_c/edit?usp=share_lin"&amp;"k"",""เชียงราย!n96"")
+IMPORTRANGE(""https://docs.google.com/spreadsheets/d/1Jgv0Y7YlHDtsiDawwp-uvifEJ8HVaSn0k2aGHG8-hwM/edit?usp=share_link"",""เชียงใหม่!n96"")+IMPORTRANGE(""https://docs.google.com/spreadsheets/d/1JWG2rZePOz9pe-f-ObA-yDr0VoOX2kSb0qIix2m"&amp;"TUo8/edit?usp=share_link"",""ตาก!n96"")+IMPORTRANGE(""https://docs.google.com/spreadsheets/d/10nSRjK08hx8Y6HgSOQKNw81lyY46Zc7U_Cj72hBMp9U/edit?usp=share_link"",""นครสวรรค์!n96"")+IMPORTRANGE(""https://docs.google.com/spreadsheets/d/1gFVb7qd7amutrIxAAoM7lc"&amp;"y35hllxznovot8lyOfvDo/edit?usp=share_link"",""น่าน!n96"")+IMPORTRANGE(""https://docs.google.com/spreadsheets/d/1K0Aa9s-6EuHE5M0FG1F9aHLXRCOV917xvycTdLdct0w/edit?usp=share_link"",""พะเยา!n96"")+IMPORTRANGE(""https://docs.google.com/spreadsheets/d/1Y9LPKx95"&amp;"PyL5OKy09d-KbKJSuuEZCFdkhYjwC0XQjBA/edit?usp=share_link"",""พิจิตร!n96"")+IMPORTRANGE(""https://docs.google.com/spreadsheets/d/16OMuOwy2eVqZcYWOouQtTpa8X1L23h4660uVHc0C8os/edit?usp=share_link"",""พิษณุโลก!n96"")+IMPORTRANGE(""https://docs.google.com/sprea"&amp;"dsheets/d/1GfgTldLG6k77HXaMQzaafODklYuucJZQNs_GAPEfZyY/edit?usp=share_link"",""เพชรบูรณ์!n96"")+IMPORTRANGE(""https://docs.google.com/spreadsheets/d/1gvTMYAnm7v1yG1BKWFtr0DnaTsq59oW9dwWvFgq6hs0/edit?usp=share_link"",""แพร่!n96"")+IMPORTRANGE(""https://doc"&amp;"s.google.com/spreadsheets/d/1Wbcosgy-Xa1xXUArJSOenub6EfZHUSzc_bpJFWwQUf0/edit?usp=share_link"",""แม่ฮ่องสอน!n96"")+IMPORTRANGE(""https://docs.google.com/spreadsheets/d/1p7ERhsr0qZeSn-KSOdeHS9r0heI-lHtkcn2OH7hP0jQ/edit?usp=share_link"",""ลำปาง!n96"")+IMPOR"&amp;"TRANGE(""https://docs.google.com/spreadsheets/d/1-uUXvimVhiU2U0bMN-xi2te0tS4X7DI2GLPnMjzl8cA/edit?usp=share_link"",""ลำพูน!n96"")+IMPORTRANGE(""https://docs.google.com/spreadsheets/d/17HrOaa5pBUI1onckFfumXB8xlg35qb2uBAFfF1D-Myo/edit?usp=share_link"",""สุโ"&amp;"ขทัย!n96"")+IMPORTRANGE(""https://docs.google.com/spreadsheets/d/1ubs5cl16eYL9gHbdHTJtmtYb9MGzHBs7CAphn8kNCgM/edit?usp=share_link"",""อุตรดิตถ์!n96"")+IMPORTRANGE(""https://docs.google.com/spreadsheets/d/1kII0BjS6CtVrBvI8IrytgPdxDrlyQDyigzMsohRtDMs/edit?u"&amp;"sp=share_link"",""อุทัยธานี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xicF4apzSqm0-jIpmueT4kyZtE-Cwn5zskl7GD4loQ/edit?usp=share_link"",""กำแพงเพชร!i98"")+IMPORTRANGE(""https://docs.google.com/spreadsheets/d/1ZNYWeiFoFA1K1U4xKWqRX29MBvEyRHXORjo734Gnq_c/edit?usp=share_lin"&amp;"k"",""เชียงราย!i98"")
+IMPORTRANGE(""https://docs.google.com/spreadsheets/d/1Jgv0Y7YlHDtsiDawwp-uvifEJ8HVaSn0k2aGHG8-hwM/edit?usp=share_link"",""เชียงใหม่!i98"")+IMPORTRANGE(""https://docs.google.com/spreadsheets/d/1JWG2rZePOz9pe-f-ObA-yDr0VoOX2kSb0qIix2m"&amp;"TUo8/edit?usp=share_link"",""ตาก!i98"")+IMPORTRANGE(""https://docs.google.com/spreadsheets/d/10nSRjK08hx8Y6HgSOQKNw81lyY46Zc7U_Cj72hBMp9U/edit?usp=share_link"",""นครสวรรค์!i98"")+IMPORTRANGE(""https://docs.google.com/spreadsheets/d/1gFVb7qd7amutrIxAAoM7lc"&amp;"y35hllxznovot8lyOfvDo/edit?usp=share_link"",""น่าน!i98"")+IMPORTRANGE(""https://docs.google.com/spreadsheets/d/1K0Aa9s-6EuHE5M0FG1F9aHLXRCOV917xvycTdLdct0w/edit?usp=share_link"",""พะเยา!i98"")+IMPORTRANGE(""https://docs.google.com/spreadsheets/d/1Y9LPKx95"&amp;"PyL5OKy09d-KbKJSuuEZCFdkhYjwC0XQjBA/edit?usp=share_link"",""พิจิตร!i98"")+IMPORTRANGE(""https://docs.google.com/spreadsheets/d/16OMuOwy2eVqZcYWOouQtTpa8X1L23h4660uVHc0C8os/edit?usp=share_link"",""พิษณุโลก!i98"")+IMPORTRANGE(""https://docs.google.com/sprea"&amp;"dsheets/d/1GfgTldLG6k77HXaMQzaafODklYuucJZQNs_GAPEfZyY/edit?usp=share_link"",""เพชรบูรณ์!i98"")+IMPORTRANGE(""https://docs.google.com/spreadsheets/d/1gvTMYAnm7v1yG1BKWFtr0DnaTsq59oW9dwWvFgq6hs0/edit?usp=share_link"",""แพร่!i98"")+IMPORTRANGE(""https://doc"&amp;"s.google.com/spreadsheets/d/1Wbcosgy-Xa1xXUArJSOenub6EfZHUSzc_bpJFWwQUf0/edit?usp=share_link"",""แม่ฮ่องสอน!i98"")+IMPORTRANGE(""https://docs.google.com/spreadsheets/d/1p7ERhsr0qZeSn-KSOdeHS9r0heI-lHtkcn2OH7hP0jQ/edit?usp=share_link"",""ลำปาง!i98"")+IMPOR"&amp;"TRANGE(""https://docs.google.com/spreadsheets/d/1-uUXvimVhiU2U0bMN-xi2te0tS4X7DI2GLPnMjzl8cA/edit?usp=share_link"",""ลำพูน!i98"")+IMPORTRANGE(""https://docs.google.com/spreadsheets/d/17HrOaa5pBUI1onckFfumXB8xlg35qb2uBAFfF1D-Myo/edit?usp=share_link"",""สุโ"&amp;"ขทัย!i98"")+IMPORTRANGE(""https://docs.google.com/spreadsheets/d/1ubs5cl16eYL9gHbdHTJtmtYb9MGzHBs7CAphn8kNCgM/edit?usp=share_link"",""อุตรดิตถ์!i98"")+IMPORTRANGE(""https://docs.google.com/spreadsheets/d/1kII0BjS6CtVrBvI8IrytgPdxDrlyQDyigzMsohRtDMs/edit?u"&amp;"sp=share_link"",""อุทัยธานี!i98"")
"),975)</f>
        <v>975</v>
      </c>
      <c r="J98" s="37">
        <f ca="1">J102</f>
        <v>750</v>
      </c>
      <c r="K98" s="38">
        <f t="shared" ref="K98:K100" ca="1" si="72">IF(I98&gt;0,J98*100/I98,0)</f>
        <v>76.92307692307692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xicF4apzSqm0-jIpmueT4kyZtE-Cwn5zskl7GD4loQ/edit?usp=share_link"",""กำแพงเพชร!i99"")+IMPORTRANGE(""https://docs.google.com/spreadsheets/d/1ZNYWeiFoFA1K1U4xKWqRX29MBvEyRHXORjo734Gnq_c/edit?usp=share_lin"&amp;"k"",""เชียงราย!i99"")
+IMPORTRANGE(""https://docs.google.com/spreadsheets/d/1Jgv0Y7YlHDtsiDawwp-uvifEJ8HVaSn0k2aGHG8-hwM/edit?usp=share_link"",""เชียงใหม่!i99"")+IMPORTRANGE(""https://docs.google.com/spreadsheets/d/1JWG2rZePOz9pe-f-ObA-yDr0VoOX2kSb0qIix2m"&amp;"TUo8/edit?usp=share_link"",""ตาก!i99"")+IMPORTRANGE(""https://docs.google.com/spreadsheets/d/10nSRjK08hx8Y6HgSOQKNw81lyY46Zc7U_Cj72hBMp9U/edit?usp=share_link"",""นครสวรรค์!i99"")+IMPORTRANGE(""https://docs.google.com/spreadsheets/d/1gFVb7qd7amutrIxAAoM7lc"&amp;"y35hllxznovot8lyOfvDo/edit?usp=share_link"",""น่าน!i99"")+IMPORTRANGE(""https://docs.google.com/spreadsheets/d/1K0Aa9s-6EuHE5M0FG1F9aHLXRCOV917xvycTdLdct0w/edit?usp=share_link"",""พะเยา!i99"")+IMPORTRANGE(""https://docs.google.com/spreadsheets/d/1Y9LPKx95"&amp;"PyL5OKy09d-KbKJSuuEZCFdkhYjwC0XQjBA/edit?usp=share_link"",""พิจิตร!i99"")+IMPORTRANGE(""https://docs.google.com/spreadsheets/d/16OMuOwy2eVqZcYWOouQtTpa8X1L23h4660uVHc0C8os/edit?usp=share_link"",""พิษณุโลก!i99"")+IMPORTRANGE(""https://docs.google.com/sprea"&amp;"dsheets/d/1GfgTldLG6k77HXaMQzaafODklYuucJZQNs_GAPEfZyY/edit?usp=share_link"",""เพชรบูรณ์!i99"")+IMPORTRANGE(""https://docs.google.com/spreadsheets/d/1gvTMYAnm7v1yG1BKWFtr0DnaTsq59oW9dwWvFgq6hs0/edit?usp=share_link"",""แพร่!i99"")+IMPORTRANGE(""https://doc"&amp;"s.google.com/spreadsheets/d/1Wbcosgy-Xa1xXUArJSOenub6EfZHUSzc_bpJFWwQUf0/edit?usp=share_link"",""แม่ฮ่องสอน!i99"")+IMPORTRANGE(""https://docs.google.com/spreadsheets/d/1p7ERhsr0qZeSn-KSOdeHS9r0heI-lHtkcn2OH7hP0jQ/edit?usp=share_link"",""ลำปาง!i99"")+IMPOR"&amp;"TRANGE(""https://docs.google.com/spreadsheets/d/1-uUXvimVhiU2U0bMN-xi2te0tS4X7DI2GLPnMjzl8cA/edit?usp=share_link"",""ลำพูน!i99"")+IMPORTRANGE(""https://docs.google.com/spreadsheets/d/17HrOaa5pBUI1onckFfumXB8xlg35qb2uBAFfF1D-Myo/edit?usp=share_link"",""สุโ"&amp;"ขทัย!i99"")+IMPORTRANGE(""https://docs.google.com/spreadsheets/d/1ubs5cl16eYL9gHbdHTJtmtYb9MGzHBs7CAphn8kNCgM/edit?usp=share_link"",""อุตรดิตถ์!i99"")+IMPORTRANGE(""https://docs.google.com/spreadsheets/d/1kII0BjS6CtVrBvI8IrytgPdxDrlyQDyigzMsohRtDMs/edit?u"&amp;"sp=share_link"",""อุทัยธานี!i99"")
"),325)</f>
        <v>325</v>
      </c>
      <c r="J99" s="37">
        <f ca="1">J104</f>
        <v>295</v>
      </c>
      <c r="K99" s="38">
        <f t="shared" ca="1" si="72"/>
        <v>90.769230769230774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xicF4apzSqm0-jIpmueT4kyZtE-Cwn5zskl7GD4loQ/edit?usp=share_link"",""กำแพงเพชร!i100"")+IMPORTRANGE(""https://docs.google.com/spreadsheets/d/1ZNYWeiFoFA1K1U4xKWqRX29MBvEyRHXORjo734Gnq_c/edit?usp=share_li"&amp;"nk"",""เชียงราย!i100"")
+IMPORTRANGE(""https://docs.google.com/spreadsheets/d/1Jgv0Y7YlHDtsiDawwp-uvifEJ8HVaSn0k2aGHG8-hwM/edit?usp=share_link"",""เชียงใหม่!i100"")+IMPORTRANGE(""https://docs.google.com/spreadsheets/d/1JWG2rZePOz9pe-f-ObA-yDr0VoOX2kSb0qIi"&amp;"x2mTUo8/edit?usp=share_link"",""ตาก!i100"")+IMPORTRANGE(""https://docs.google.com/spreadsheets/d/10nSRjK08hx8Y6HgSOQKNw81lyY46Zc7U_Cj72hBMp9U/edit?usp=share_link"",""นครสวรรค์!i100"")+IMPORTRANGE(""https://docs.google.com/spreadsheets/d/1gFVb7qd7amutrIxAA"&amp;"oM7lcy35hllxznovot8lyOfvDo/edit?usp=share_link"",""น่าน!i100"")+IMPORTRANGE(""https://docs.google.com/spreadsheets/d/1K0Aa9s-6EuHE5M0FG1F9aHLXRCOV917xvycTdLdct0w/edit?usp=share_link"",""พะเยา!i100"")+IMPORTRANGE(""https://docs.google.com/spreadsheets/d/1Y"&amp;"9LPKx95PyL5OKy09d-KbKJSuuEZCFdkhYjwC0XQjBA/edit?usp=share_link"",""พิจิตร!i100"")+IMPORTRANGE(""https://docs.google.com/spreadsheets/d/16OMuOwy2eVqZcYWOouQtTpa8X1L23h4660uVHc0C8os/edit?usp=share_link"",""พิษณุโลก!i100"")+IMPORTRANGE(""https://docs.google."&amp;"com/spreadsheets/d/1GfgTldLG6k77HXaMQzaafODklYuucJZQNs_GAPEfZyY/edit?usp=share_link"",""เพชรบูรณ์!i100"")+IMPORTRANGE(""https://docs.google.com/spreadsheets/d/1gvTMYAnm7v1yG1BKWFtr0DnaTsq59oW9dwWvFgq6hs0/edit?usp=share_link"",""แพร่!i100"")+IMPORTRANGE("""&amp;"https://docs.google.com/spreadsheets/d/1Wbcosgy-Xa1xXUArJSOenub6EfZHUSzc_bpJFWwQUf0/edit?usp=share_link"",""แม่ฮ่องสอน!i100"")+IMPORTRANGE(""https://docs.google.com/spreadsheets/d/1p7ERhsr0qZeSn-KSOdeHS9r0heI-lHtkcn2OH7hP0jQ/edit?usp=share_link"",""ลำปาง!"&amp;"i100"")+IMPORTRANGE(""https://docs.google.com/spreadsheets/d/1-uUXvimVhiU2U0bMN-xi2te0tS4X7DI2GLPnMjzl8cA/edit?usp=share_link"",""ลำพูน!i100"")+IMPORTRANGE(""https://docs.google.com/spreadsheets/d/17HrOaa5pBUI1onckFfumXB8xlg35qb2uBAFfF1D-Myo/edit?usp=shar"&amp;"e_link"",""สุโขทัย!i100"")+IMPORTRANGE(""https://docs.google.com/spreadsheets/d/1ubs5cl16eYL9gHbdHTJtmtYb9MGzHBs7CAphn8kNCgM/edit?usp=share_link"",""อุตรดิตถ์!i100"")+IMPORTRANGE(""https://docs.google.com/spreadsheets/d/1kII0BjS6CtVrBvI8IrytgPdxDrlyQDyigz"&amp;"MsohRtDMs/edit?usp=share_link"",""อุทัยธานี!i100"")
"),30)</f>
        <v>30</v>
      </c>
      <c r="J100" s="37">
        <f ca="1">J107+J110</f>
        <v>5</v>
      </c>
      <c r="K100" s="38">
        <f t="shared" ca="1" si="72"/>
        <v>16.666666666666668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xicF4apzSqm0-jIpmueT4kyZtE-Cwn5zskl7GD4loQ/edit?usp=share_link"",""กำแพงเพชร!i102"")+IMPORTRANGE(""https://docs.google.com/spreadsheets/d/1ZNYWeiFoFA1K1U4xKWqRX29MBvEyRHXORjo734Gnq_c/edit?usp=share_li"&amp;"nk"",""เชียงราย!i102"")
+IMPORTRANGE(""https://docs.google.com/spreadsheets/d/1Jgv0Y7YlHDtsiDawwp-uvifEJ8HVaSn0k2aGHG8-hwM/edit?usp=share_link"",""เชียงใหม่!i102"")+IMPORTRANGE(""https://docs.google.com/spreadsheets/d/1JWG2rZePOz9pe-f-ObA-yDr0VoOX2kSb0qIi"&amp;"x2mTUo8/edit?usp=share_link"",""ตาก!i102"")+IMPORTRANGE(""https://docs.google.com/spreadsheets/d/10nSRjK08hx8Y6HgSOQKNw81lyY46Zc7U_Cj72hBMp9U/edit?usp=share_link"",""นครสวรรค์!i102"")+IMPORTRANGE(""https://docs.google.com/spreadsheets/d/1gFVb7qd7amutrIxAA"&amp;"oM7lcy35hllxznovot8lyOfvDo/edit?usp=share_link"",""น่าน!i102"")+IMPORTRANGE(""https://docs.google.com/spreadsheets/d/1K0Aa9s-6EuHE5M0FG1F9aHLXRCOV917xvycTdLdct0w/edit?usp=share_link"",""พะเยา!i102"")+IMPORTRANGE(""https://docs.google.com/spreadsheets/d/1Y"&amp;"9LPKx95PyL5OKy09d-KbKJSuuEZCFdkhYjwC0XQjBA/edit?usp=share_link"",""พิจิตร!i102"")+IMPORTRANGE(""https://docs.google.com/spreadsheets/d/16OMuOwy2eVqZcYWOouQtTpa8X1L23h4660uVHc0C8os/edit?usp=share_link"",""พิษณุโลก!i102"")+IMPORTRANGE(""https://docs.google."&amp;"com/spreadsheets/d/1GfgTldLG6k77HXaMQzaafODklYuucJZQNs_GAPEfZyY/edit?usp=share_link"",""เพชรบูรณ์!i102"")+IMPORTRANGE(""https://docs.google.com/spreadsheets/d/1gvTMYAnm7v1yG1BKWFtr0DnaTsq59oW9dwWvFgq6hs0/edit?usp=share_link"",""แพร่!i102"")+IMPORTRANGE("""&amp;"https://docs.google.com/spreadsheets/d/1Wbcosgy-Xa1xXUArJSOenub6EfZHUSzc_bpJFWwQUf0/edit?usp=share_link"",""แม่ฮ่องสอน!i102"")+IMPORTRANGE(""https://docs.google.com/spreadsheets/d/1p7ERhsr0qZeSn-KSOdeHS9r0heI-lHtkcn2OH7hP0jQ/edit?usp=share_link"",""ลำปาง!"&amp;"i102"")+IMPORTRANGE(""https://docs.google.com/spreadsheets/d/1-uUXvimVhiU2U0bMN-xi2te0tS4X7DI2GLPnMjzl8cA/edit?usp=share_link"",""ลำพูน!i102"")+IMPORTRANGE(""https://docs.google.com/spreadsheets/d/17HrOaa5pBUI1onckFfumXB8xlg35qb2uBAFfF1D-Myo/edit?usp=shar"&amp;"e_link"",""สุโขทัย!i102"")+IMPORTRANGE(""https://docs.google.com/spreadsheets/d/1ubs5cl16eYL9gHbdHTJtmtYb9MGzHBs7CAphn8kNCgM/edit?usp=share_link"",""อุตรดิตถ์!i102"")+IMPORTRANGE(""https://docs.google.com/spreadsheets/d/1kII0BjS6CtVrBvI8IrytgPdxDrlyQDyigz"&amp;"MsohRtDMs/edit?usp=share_link"",""อุทัยธานี!i102"")
"),975)</f>
        <v>975</v>
      </c>
      <c r="J102" s="183">
        <f ca="1">IFERROR(__xludf.DUMMYFUNCTION("IMPORTRANGE(""https://docs.google.com/spreadsheets/d/1KxicF4apzSqm0-jIpmueT4kyZtE-Cwn5zskl7GD4loQ/edit?usp=share_link"",""กำแพงเพชร!J102"")+IMPORTRANGE(""https://docs.google.com/spreadsheets/d/1ZNYWeiFoFA1K1U4xKWqRX29MBvEyRHXORjo734Gnq_c/edit?usp=share_li"&amp;"nk"",""เชียงราย!J102"")
+IMPORTRANGE(""https://docs.google.com/spreadsheets/d/1Jgv0Y7YlHDtsiDawwp-uvifEJ8HVaSn0k2aGHG8-hwM/edit?usp=share_link"",""เชียงใหม่!J102"")+IMPORTRANGE(""https://docs.google.com/spreadsheets/d/1JWG2rZePOz9pe-f-ObA-yDr0VoOX2kSb0qIi"&amp;"x2mTUo8/edit?usp=share_link"",""ตาก!J102"")+IMPORTRANGE(""https://docs.google.com/spreadsheets/d/10nSRjK08hx8Y6HgSOQKNw81lyY46Zc7U_Cj72hBMp9U/edit?usp=share_link"",""นครสวรรค์!J102"")+IMPORTRANGE(""https://docs.google.com/spreadsheets/d/1gFVb7qd7amutrIxAA"&amp;"oM7lcy35hllxznovot8lyOfvDo/edit?usp=share_link"",""น่าน!J102"")+IMPORTRANGE(""https://docs.google.com/spreadsheets/d/1K0Aa9s-6EuHE5M0FG1F9aHLXRCOV917xvycTdLdct0w/edit?usp=share_link"",""พะเยา!J102"")+IMPORTRANGE(""https://docs.google.com/spreadsheets/d/1Y"&amp;"9LPKx95PyL5OKy09d-KbKJSuuEZCFdkhYjwC0XQjBA/edit?usp=share_link"",""พิจิตร!J102"")+IMPORTRANGE(""https://docs.google.com/spreadsheets/d/16OMuOwy2eVqZcYWOouQtTpa8X1L23h4660uVHc0C8os/edit?usp=share_link"",""พิษณุโลก!J102"")+IMPORTRANGE(""https://docs.google."&amp;"com/spreadsheets/d/1GfgTldLG6k77HXaMQzaafODklYuucJZQNs_GAPEfZyY/edit?usp=share_link"",""เพชรบูรณ์!J102"")+IMPORTRANGE(""https://docs.google.com/spreadsheets/d/1gvTMYAnm7v1yG1BKWFtr0DnaTsq59oW9dwWvFgq6hs0/edit?usp=share_link"",""แพร่!J102"")+IMPORTRANGE("""&amp;"https://docs.google.com/spreadsheets/d/1Wbcosgy-Xa1xXUArJSOenub6EfZHUSzc_bpJFWwQUf0/edit?usp=share_link"",""แม่ฮ่องสอน!J102"")+IMPORTRANGE(""https://docs.google.com/spreadsheets/d/1p7ERhsr0qZeSn-KSOdeHS9r0heI-lHtkcn2OH7hP0jQ/edit?usp=share_link"",""ลำปาง!"&amp;"J102"")+IMPORTRANGE(""https://docs.google.com/spreadsheets/d/1-uUXvimVhiU2U0bMN-xi2te0tS4X7DI2GLPnMjzl8cA/edit?usp=share_link"",""ลำพูน!J102"")+IMPORTRANGE(""https://docs.google.com/spreadsheets/d/17HrOaa5pBUI1onckFfumXB8xlg35qb2uBAFfF1D-Myo/edit?usp=shar"&amp;"e_link"",""สุโขทัย!J102"")+IMPORTRANGE(""https://docs.google.com/spreadsheets/d/1ubs5cl16eYL9gHbdHTJtmtYb9MGzHBs7CAphn8kNCgM/edit?usp=share_link"",""อุตรดิตถ์!J102"")+IMPORTRANGE(""https://docs.google.com/spreadsheets/d/1kII0BjS6CtVrBvI8IrytgPdxDrlyQDyigz"&amp;"MsohRtDMs/edit?usp=share_link"",""อุทัยธานี!J102"")
"),750)</f>
        <v>750</v>
      </c>
      <c r="K102" s="38">
        <f t="shared" ref="K102:K104" ca="1" si="73">IF(I102&gt;0,J102*100/I102,0)</f>
        <v>76.92307692307692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xicF4apzSqm0-jIpmueT4kyZtE-Cwn5zskl7GD4loQ/edit?usp=share_link"",""กำแพงเพชร!i103"")+IMPORTRANGE(""https://docs.google.com/spreadsheets/d/1ZNYWeiFoFA1K1U4xKWqRX29MBvEyRHXORjo734Gnq_c/edit?usp=share_li"&amp;"nk"",""เชียงราย!i103"")
+IMPORTRANGE(""https://docs.google.com/spreadsheets/d/1Jgv0Y7YlHDtsiDawwp-uvifEJ8HVaSn0k2aGHG8-hwM/edit?usp=share_link"",""เชียงใหม่!i103"")+IMPORTRANGE(""https://docs.google.com/spreadsheets/d/1JWG2rZePOz9pe-f-ObA-yDr0VoOX2kSb0qIi"&amp;"x2mTUo8/edit?usp=share_link"",""ตาก!i103"")+IMPORTRANGE(""https://docs.google.com/spreadsheets/d/10nSRjK08hx8Y6HgSOQKNw81lyY46Zc7U_Cj72hBMp9U/edit?usp=share_link"",""นครสวรรค์!i103"")+IMPORTRANGE(""https://docs.google.com/spreadsheets/d/1gFVb7qd7amutrIxAA"&amp;"oM7lcy35hllxznovot8lyOfvDo/edit?usp=share_link"",""น่าน!i103"")+IMPORTRANGE(""https://docs.google.com/spreadsheets/d/1K0Aa9s-6EuHE5M0FG1F9aHLXRCOV917xvycTdLdct0w/edit?usp=share_link"",""พะเยา!i103"")+IMPORTRANGE(""https://docs.google.com/spreadsheets/d/1Y"&amp;"9LPKx95PyL5OKy09d-KbKJSuuEZCFdkhYjwC0XQjBA/edit?usp=share_link"",""พิจิตร!i103"")+IMPORTRANGE(""https://docs.google.com/spreadsheets/d/16OMuOwy2eVqZcYWOouQtTpa8X1L23h4660uVHc0C8os/edit?usp=share_link"",""พิษณุโลก!i103"")+IMPORTRANGE(""https://docs.google."&amp;"com/spreadsheets/d/1GfgTldLG6k77HXaMQzaafODklYuucJZQNs_GAPEfZyY/edit?usp=share_link"",""เพชรบูรณ์!i103"")+IMPORTRANGE(""https://docs.google.com/spreadsheets/d/1gvTMYAnm7v1yG1BKWFtr0DnaTsq59oW9dwWvFgq6hs0/edit?usp=share_link"",""แพร่!i103"")+IMPORTRANGE("""&amp;"https://docs.google.com/spreadsheets/d/1Wbcosgy-Xa1xXUArJSOenub6EfZHUSzc_bpJFWwQUf0/edit?usp=share_link"",""แม่ฮ่องสอน!i103"")+IMPORTRANGE(""https://docs.google.com/spreadsheets/d/1p7ERhsr0qZeSn-KSOdeHS9r0heI-lHtkcn2OH7hP0jQ/edit?usp=share_link"",""ลำปาง!"&amp;"i103"")+IMPORTRANGE(""https://docs.google.com/spreadsheets/d/1-uUXvimVhiU2U0bMN-xi2te0tS4X7DI2GLPnMjzl8cA/edit?usp=share_link"",""ลำพูน!i103"")+IMPORTRANGE(""https://docs.google.com/spreadsheets/d/17HrOaa5pBUI1onckFfumXB8xlg35qb2uBAFfF1D-Myo/edit?usp=shar"&amp;"e_link"",""สุโขทัย!i103"")+IMPORTRANGE(""https://docs.google.com/spreadsheets/d/1ubs5cl16eYL9gHbdHTJtmtYb9MGzHBs7CAphn8kNCgM/edit?usp=share_link"",""อุตรดิตถ์!i103"")+IMPORTRANGE(""https://docs.google.com/spreadsheets/d/1kII0BjS6CtVrBvI8IrytgPdxDrlyQDyigz"&amp;"MsohRtDMs/edit?usp=share_link"",""อุทัยธานี!i103"")
"),325)</f>
        <v>325</v>
      </c>
      <c r="J103" s="183">
        <f ca="1">IFERROR(__xludf.DUMMYFUNCTION("IMPORTRANGE(""https://docs.google.com/spreadsheets/d/1KxicF4apzSqm0-jIpmueT4kyZtE-Cwn5zskl7GD4loQ/edit?usp=share_link"",""กำแพงเพชร!J103"")+IMPORTRANGE(""https://docs.google.com/spreadsheets/d/1ZNYWeiFoFA1K1U4xKWqRX29MBvEyRHXORjo734Gnq_c/edit?usp=share_li"&amp;"nk"",""เชียงราย!J103"")
+IMPORTRANGE(""https://docs.google.com/spreadsheets/d/1Jgv0Y7YlHDtsiDawwp-uvifEJ8HVaSn0k2aGHG8-hwM/edit?usp=share_link"",""เชียงใหม่!J103"")+IMPORTRANGE(""https://docs.google.com/spreadsheets/d/1JWG2rZePOz9pe-f-ObA-yDr0VoOX2kSb0qIi"&amp;"x2mTUo8/edit?usp=share_link"",""ตาก!J103"")+IMPORTRANGE(""https://docs.google.com/spreadsheets/d/10nSRjK08hx8Y6HgSOQKNw81lyY46Zc7U_Cj72hBMp9U/edit?usp=share_link"",""นครสวรรค์!J103"")+IMPORTRANGE(""https://docs.google.com/spreadsheets/d/1gFVb7qd7amutrIxAA"&amp;"oM7lcy35hllxznovot8lyOfvDo/edit?usp=share_link"",""น่าน!J103"")+IMPORTRANGE(""https://docs.google.com/spreadsheets/d/1K0Aa9s-6EuHE5M0FG1F9aHLXRCOV917xvycTdLdct0w/edit?usp=share_link"",""พะเยา!J103"")+IMPORTRANGE(""https://docs.google.com/spreadsheets/d/1Y"&amp;"9LPKx95PyL5OKy09d-KbKJSuuEZCFdkhYjwC0XQjBA/edit?usp=share_link"",""พิจิตร!J103"")+IMPORTRANGE(""https://docs.google.com/spreadsheets/d/16OMuOwy2eVqZcYWOouQtTpa8X1L23h4660uVHc0C8os/edit?usp=share_link"",""พิษณุโลก!J103"")+IMPORTRANGE(""https://docs.google."&amp;"com/spreadsheets/d/1GfgTldLG6k77HXaMQzaafODklYuucJZQNs_GAPEfZyY/edit?usp=share_link"",""เพชรบูรณ์!J103"")+IMPORTRANGE(""https://docs.google.com/spreadsheets/d/1gvTMYAnm7v1yG1BKWFtr0DnaTsq59oW9dwWvFgq6hs0/edit?usp=share_link"",""แพร่!J103"")+IMPORTRANGE("""&amp;"https://docs.google.com/spreadsheets/d/1Wbcosgy-Xa1xXUArJSOenub6EfZHUSzc_bpJFWwQUf0/edit?usp=share_link"",""แม่ฮ่องสอน!J103"")+IMPORTRANGE(""https://docs.google.com/spreadsheets/d/1p7ERhsr0qZeSn-KSOdeHS9r0heI-lHtkcn2OH7hP0jQ/edit?usp=share_link"",""ลำปาง!"&amp;"J103"")+IMPORTRANGE(""https://docs.google.com/spreadsheets/d/1-uUXvimVhiU2U0bMN-xi2te0tS4X7DI2GLPnMjzl8cA/edit?usp=share_link"",""ลำพูน!J103"")+IMPORTRANGE(""https://docs.google.com/spreadsheets/d/17HrOaa5pBUI1onckFfumXB8xlg35qb2uBAFfF1D-Myo/edit?usp=shar"&amp;"e_link"",""สุโขทัย!J103"")+IMPORTRANGE(""https://docs.google.com/spreadsheets/d/1ubs5cl16eYL9gHbdHTJtmtYb9MGzHBs7CAphn8kNCgM/edit?usp=share_link"",""อุตรดิตถ์!J103"")+IMPORTRANGE(""https://docs.google.com/spreadsheets/d/1kII0BjS6CtVrBvI8IrytgPdxDrlyQDyigz"&amp;"MsohRtDMs/edit?usp=share_link"",""อุทัยธานี!J103"")
"),295)</f>
        <v>295</v>
      </c>
      <c r="K103" s="38">
        <f t="shared" ca="1" si="73"/>
        <v>90.769230769230774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xicF4apzSqm0-jIpmueT4kyZtE-Cwn5zskl7GD4loQ/edit?usp=share_link"",""กำแพงเพชร!i104"")+IMPORTRANGE(""https://docs.google.com/spreadsheets/d/1ZNYWeiFoFA1K1U4xKWqRX29MBvEyRHXORjo734Gnq_c/edit?usp=share_li"&amp;"nk"",""เชียงราย!i104"")
+IMPORTRANGE(""https://docs.google.com/spreadsheets/d/1Jgv0Y7YlHDtsiDawwp-uvifEJ8HVaSn0k2aGHG8-hwM/edit?usp=share_link"",""เชียงใหม่!i104"")+IMPORTRANGE(""https://docs.google.com/spreadsheets/d/1JWG2rZePOz9pe-f-ObA-yDr0VoOX2kSb0qIi"&amp;"x2mTUo8/edit?usp=share_link"",""ตาก!i104"")+IMPORTRANGE(""https://docs.google.com/spreadsheets/d/10nSRjK08hx8Y6HgSOQKNw81lyY46Zc7U_Cj72hBMp9U/edit?usp=share_link"",""นครสวรรค์!i104"")+IMPORTRANGE(""https://docs.google.com/spreadsheets/d/1gFVb7qd7amutrIxAA"&amp;"oM7lcy35hllxznovot8lyOfvDo/edit?usp=share_link"",""น่าน!i104"")+IMPORTRANGE(""https://docs.google.com/spreadsheets/d/1K0Aa9s-6EuHE5M0FG1F9aHLXRCOV917xvycTdLdct0w/edit?usp=share_link"",""พะเยา!i104"")+IMPORTRANGE(""https://docs.google.com/spreadsheets/d/1Y"&amp;"9LPKx95PyL5OKy09d-KbKJSuuEZCFdkhYjwC0XQjBA/edit?usp=share_link"",""พิจิตร!i104"")+IMPORTRANGE(""https://docs.google.com/spreadsheets/d/16OMuOwy2eVqZcYWOouQtTpa8X1L23h4660uVHc0C8os/edit?usp=share_link"",""พิษณุโลก!i104"")+IMPORTRANGE(""https://docs.google."&amp;"com/spreadsheets/d/1GfgTldLG6k77HXaMQzaafODklYuucJZQNs_GAPEfZyY/edit?usp=share_link"",""เพชรบูรณ์!i104"")+IMPORTRANGE(""https://docs.google.com/spreadsheets/d/1gvTMYAnm7v1yG1BKWFtr0DnaTsq59oW9dwWvFgq6hs0/edit?usp=share_link"",""แพร่!i104"")+IMPORTRANGE("""&amp;"https://docs.google.com/spreadsheets/d/1Wbcosgy-Xa1xXUArJSOenub6EfZHUSzc_bpJFWwQUf0/edit?usp=share_link"",""แม่ฮ่องสอน!i104"")+IMPORTRANGE(""https://docs.google.com/spreadsheets/d/1p7ERhsr0qZeSn-KSOdeHS9r0heI-lHtkcn2OH7hP0jQ/edit?usp=share_link"",""ลำปาง!"&amp;"i104"")+IMPORTRANGE(""https://docs.google.com/spreadsheets/d/1-uUXvimVhiU2U0bMN-xi2te0tS4X7DI2GLPnMjzl8cA/edit?usp=share_link"",""ลำพูน!i104"")+IMPORTRANGE(""https://docs.google.com/spreadsheets/d/17HrOaa5pBUI1onckFfumXB8xlg35qb2uBAFfF1D-Myo/edit?usp=shar"&amp;"e_link"",""สุโขทัย!i104"")+IMPORTRANGE(""https://docs.google.com/spreadsheets/d/1ubs5cl16eYL9gHbdHTJtmtYb9MGzHBs7CAphn8kNCgM/edit?usp=share_link"",""อุตรดิตถ์!i104"")+IMPORTRANGE(""https://docs.google.com/spreadsheets/d/1kII0BjS6CtVrBvI8IrytgPdxDrlyQDyigz"&amp;"MsohRtDMs/edit?usp=share_link"",""อุทัยธานี!i104"")
"),325)</f>
        <v>325</v>
      </c>
      <c r="J104" s="183">
        <f ca="1">IFERROR(__xludf.DUMMYFUNCTION("IMPORTRANGE(""https://docs.google.com/spreadsheets/d/1KxicF4apzSqm0-jIpmueT4kyZtE-Cwn5zskl7GD4loQ/edit?usp=share_link"",""กำแพงเพชร!J104"")+IMPORTRANGE(""https://docs.google.com/spreadsheets/d/1ZNYWeiFoFA1K1U4xKWqRX29MBvEyRHXORjo734Gnq_c/edit?usp=share_li"&amp;"nk"",""เชียงราย!J104"")
+IMPORTRANGE(""https://docs.google.com/spreadsheets/d/1Jgv0Y7YlHDtsiDawwp-uvifEJ8HVaSn0k2aGHG8-hwM/edit?usp=share_link"",""เชียงใหม่!J104"")+IMPORTRANGE(""https://docs.google.com/spreadsheets/d/1JWG2rZePOz9pe-f-ObA-yDr0VoOX2kSb0qIi"&amp;"x2mTUo8/edit?usp=share_link"",""ตาก!J104"")+IMPORTRANGE(""https://docs.google.com/spreadsheets/d/10nSRjK08hx8Y6HgSOQKNw81lyY46Zc7U_Cj72hBMp9U/edit?usp=share_link"",""นครสวรรค์!J104"")+IMPORTRANGE(""https://docs.google.com/spreadsheets/d/1gFVb7qd7amutrIxAA"&amp;"oM7lcy35hllxznovot8lyOfvDo/edit?usp=share_link"",""น่าน!J104"")+IMPORTRANGE(""https://docs.google.com/spreadsheets/d/1K0Aa9s-6EuHE5M0FG1F9aHLXRCOV917xvycTdLdct0w/edit?usp=share_link"",""พะเยา!J104"")+IMPORTRANGE(""https://docs.google.com/spreadsheets/d/1Y"&amp;"9LPKx95PyL5OKy09d-KbKJSuuEZCFdkhYjwC0XQjBA/edit?usp=share_link"",""พิจิตร!J104"")+IMPORTRANGE(""https://docs.google.com/spreadsheets/d/16OMuOwy2eVqZcYWOouQtTpa8X1L23h4660uVHc0C8os/edit?usp=share_link"",""พิษณุโลก!J104"")+IMPORTRANGE(""https://docs.google."&amp;"com/spreadsheets/d/1GfgTldLG6k77HXaMQzaafODklYuucJZQNs_GAPEfZyY/edit?usp=share_link"",""เพชรบูรณ์!J104"")+IMPORTRANGE(""https://docs.google.com/spreadsheets/d/1gvTMYAnm7v1yG1BKWFtr0DnaTsq59oW9dwWvFgq6hs0/edit?usp=share_link"",""แพร่!J104"")+IMPORTRANGE("""&amp;"https://docs.google.com/spreadsheets/d/1Wbcosgy-Xa1xXUArJSOenub6EfZHUSzc_bpJFWwQUf0/edit?usp=share_link"",""แม่ฮ่องสอน!J104"")+IMPORTRANGE(""https://docs.google.com/spreadsheets/d/1p7ERhsr0qZeSn-KSOdeHS9r0heI-lHtkcn2OH7hP0jQ/edit?usp=share_link"",""ลำปาง!"&amp;"J104"")+IMPORTRANGE(""https://docs.google.com/spreadsheets/d/1-uUXvimVhiU2U0bMN-xi2te0tS4X7DI2GLPnMjzl8cA/edit?usp=share_link"",""ลำพูน!J104"")+IMPORTRANGE(""https://docs.google.com/spreadsheets/d/17HrOaa5pBUI1onckFfumXB8xlg35qb2uBAFfF1D-Myo/edit?usp=shar"&amp;"e_link"",""สุโขทัย!J104"")+IMPORTRANGE(""https://docs.google.com/spreadsheets/d/1ubs5cl16eYL9gHbdHTJtmtYb9MGzHBs7CAphn8kNCgM/edit?usp=share_link"",""อุตรดิตถ์!J104"")+IMPORTRANGE(""https://docs.google.com/spreadsheets/d/1kII0BjS6CtVrBvI8IrytgPdxDrlyQDyigz"&amp;"MsohRtDMs/edit?usp=share_link"",""อุทัยธานี!J104"")
"),295)</f>
        <v>295</v>
      </c>
      <c r="K104" s="38">
        <f t="shared" ca="1" si="73"/>
        <v>90.769230769230774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xicF4apzSqm0-jIpmueT4kyZtE-Cwn5zskl7GD4loQ/edit?usp=share_link"",""กำแพงเพชร!i106"")+IMPORTRANGE(""https://docs.google.com/spreadsheets/d/1ZNYWeiFoFA1K1U4xKWqRX29MBvEyRHXORjo734Gnq_c/edit?usp=share_li"&amp;"nk"",""เชียงราย!i106"")
+IMPORTRANGE(""https://docs.google.com/spreadsheets/d/1Jgv0Y7YlHDtsiDawwp-uvifEJ8HVaSn0k2aGHG8-hwM/edit?usp=share_link"",""เชียงใหม่!i106"")+IMPORTRANGE(""https://docs.google.com/spreadsheets/d/1JWG2rZePOz9pe-f-ObA-yDr0VoOX2kSb0qIi"&amp;"x2mTUo8/edit?usp=share_link"",""ตาก!i106"")+IMPORTRANGE(""https://docs.google.com/spreadsheets/d/10nSRjK08hx8Y6HgSOQKNw81lyY46Zc7U_Cj72hBMp9U/edit?usp=share_link"",""นครสวรรค์!i106"")+IMPORTRANGE(""https://docs.google.com/spreadsheets/d/1gFVb7qd7amutrIxAA"&amp;"oM7lcy35hllxznovot8lyOfvDo/edit?usp=share_link"",""น่าน!i106"")+IMPORTRANGE(""https://docs.google.com/spreadsheets/d/1K0Aa9s-6EuHE5M0FG1F9aHLXRCOV917xvycTdLdct0w/edit?usp=share_link"",""พะเยา!i106"")+IMPORTRANGE(""https://docs.google.com/spreadsheets/d/1Y"&amp;"9LPKx95PyL5OKy09d-KbKJSuuEZCFdkhYjwC0XQjBA/edit?usp=share_link"",""พิจิตร!i106"")+IMPORTRANGE(""https://docs.google.com/spreadsheets/d/16OMuOwy2eVqZcYWOouQtTpa8X1L23h4660uVHc0C8os/edit?usp=share_link"",""พิษณุโลก!i106"")+IMPORTRANGE(""https://docs.google."&amp;"com/spreadsheets/d/1GfgTldLG6k77HXaMQzaafODklYuucJZQNs_GAPEfZyY/edit?usp=share_link"",""เพชรบูรณ์!i106"")+IMPORTRANGE(""https://docs.google.com/spreadsheets/d/1gvTMYAnm7v1yG1BKWFtr0DnaTsq59oW9dwWvFgq6hs0/edit?usp=share_link"",""แพร่!i106"")+IMPORTRANGE("""&amp;"https://docs.google.com/spreadsheets/d/1Wbcosgy-Xa1xXUArJSOenub6EfZHUSzc_bpJFWwQUf0/edit?usp=share_link"",""แม่ฮ่องสอน!i106"")+IMPORTRANGE(""https://docs.google.com/spreadsheets/d/1p7ERhsr0qZeSn-KSOdeHS9r0heI-lHtkcn2OH7hP0jQ/edit?usp=share_link"",""ลำปาง!"&amp;"i106"")+IMPORTRANGE(""https://docs.google.com/spreadsheets/d/1-uUXvimVhiU2U0bMN-xi2te0tS4X7DI2GLPnMjzl8cA/edit?usp=share_link"",""ลำพูน!i106"")+IMPORTRANGE(""https://docs.google.com/spreadsheets/d/17HrOaa5pBUI1onckFfumXB8xlg35qb2uBAFfF1D-Myo/edit?usp=shar"&amp;"e_link"",""สุโขทัย!i106"")+IMPORTRANGE(""https://docs.google.com/spreadsheets/d/1ubs5cl16eYL9gHbdHTJtmtYb9MGzHBs7CAphn8kNCgM/edit?usp=share_link"",""อุตรดิตถ์!i106"")+IMPORTRANGE(""https://docs.google.com/spreadsheets/d/1kII0BjS6CtVrBvI8IrytgPdxDrlyQDyigz"&amp;"MsohRtDMs/edit?usp=share_link"",""อุทัยธานี!i106"")
"),14)</f>
        <v>14</v>
      </c>
      <c r="J106" s="183">
        <f ca="1">IFERROR(__xludf.DUMMYFUNCTION("IMPORTRANGE(""https://docs.google.com/spreadsheets/d/1KxicF4apzSqm0-jIpmueT4kyZtE-Cwn5zskl7GD4loQ/edit?usp=share_link"",""กำแพงเพชร!J106"")+IMPORTRANGE(""https://docs.google.com/spreadsheets/d/1ZNYWeiFoFA1K1U4xKWqRX29MBvEyRHXORjo734Gnq_c/edit?usp=share_li"&amp;"nk"",""เชียงราย!J106"")
+IMPORTRANGE(""https://docs.google.com/spreadsheets/d/1Jgv0Y7YlHDtsiDawwp-uvifEJ8HVaSn0k2aGHG8-hwM/edit?usp=share_link"",""เชียงใหม่!J106"")+IMPORTRANGE(""https://docs.google.com/spreadsheets/d/1JWG2rZePOz9pe-f-ObA-yDr0VoOX2kSb0qIi"&amp;"x2mTUo8/edit?usp=share_link"",""ตาก!J106"")+IMPORTRANGE(""https://docs.google.com/spreadsheets/d/10nSRjK08hx8Y6HgSOQKNw81lyY46Zc7U_Cj72hBMp9U/edit?usp=share_link"",""นครสวรรค์!J106"")+IMPORTRANGE(""https://docs.google.com/spreadsheets/d/1gFVb7qd7amutrIxAA"&amp;"oM7lcy35hllxznovot8lyOfvDo/edit?usp=share_link"",""น่าน!J106"")+IMPORTRANGE(""https://docs.google.com/spreadsheets/d/1K0Aa9s-6EuHE5M0FG1F9aHLXRCOV917xvycTdLdct0w/edit?usp=share_link"",""พะเยา!J106"")+IMPORTRANGE(""https://docs.google.com/spreadsheets/d/1Y"&amp;"9LPKx95PyL5OKy09d-KbKJSuuEZCFdkhYjwC0XQjBA/edit?usp=share_link"",""พิจิตร!J106"")+IMPORTRANGE(""https://docs.google.com/spreadsheets/d/16OMuOwy2eVqZcYWOouQtTpa8X1L23h4660uVHc0C8os/edit?usp=share_link"",""พิษณุโลก!J106"")+IMPORTRANGE(""https://docs.google."&amp;"com/spreadsheets/d/1GfgTldLG6k77HXaMQzaafODklYuucJZQNs_GAPEfZyY/edit?usp=share_link"",""เพชรบูรณ์!J106"")+IMPORTRANGE(""https://docs.google.com/spreadsheets/d/1gvTMYAnm7v1yG1BKWFtr0DnaTsq59oW9dwWvFgq6hs0/edit?usp=share_link"",""แพร่!J106"")+IMPORTRANGE("""&amp;"https://docs.google.com/spreadsheets/d/1Wbcosgy-Xa1xXUArJSOenub6EfZHUSzc_bpJFWwQUf0/edit?usp=share_link"",""แม่ฮ่องสอน!J106"")+IMPORTRANGE(""https://docs.google.com/spreadsheets/d/1p7ERhsr0qZeSn-KSOdeHS9r0heI-lHtkcn2OH7hP0jQ/edit?usp=share_link"",""ลำปาง!"&amp;"J106"")+IMPORTRANGE(""https://docs.google.com/spreadsheets/d/1-uUXvimVhiU2U0bMN-xi2te0tS4X7DI2GLPnMjzl8cA/edit?usp=share_link"",""ลำพูน!J106"")+IMPORTRANGE(""https://docs.google.com/spreadsheets/d/17HrOaa5pBUI1onckFfumXB8xlg35qb2uBAFfF1D-Myo/edit?usp=shar"&amp;"e_link"",""สุโขทัย!J106"")+IMPORTRANGE(""https://docs.google.com/spreadsheets/d/1ubs5cl16eYL9gHbdHTJtmtYb9MGzHBs7CAphn8kNCgM/edit?usp=share_link"",""อุตรดิตถ์!J106"")+IMPORTRANGE(""https://docs.google.com/spreadsheets/d/1kII0BjS6CtVrBvI8IrytgPdxDrlyQDyigz"&amp;"MsohRtDMs/edit?usp=share_link"",""อุทัยธานี!J106"")
"),4)</f>
        <v>4</v>
      </c>
      <c r="K106" s="38">
        <f t="shared" ref="K106:K107" ca="1" si="74">IF(I106&gt;0,J106*100/I106,0)</f>
        <v>28.571428571428573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xicF4apzSqm0-jIpmueT4kyZtE-Cwn5zskl7GD4loQ/edit?usp=share_link"",""กำแพงเพชร!i107"")+IMPORTRANGE(""https://docs.google.com/spreadsheets/d/1ZNYWeiFoFA1K1U4xKWqRX29MBvEyRHXORjo734Gnq_c/edit?usp=share_li"&amp;"nk"",""เชียงราย!i107"")
+IMPORTRANGE(""https://docs.google.com/spreadsheets/d/1Jgv0Y7YlHDtsiDawwp-uvifEJ8HVaSn0k2aGHG8-hwM/edit?usp=share_link"",""เชียงใหม่!i107"")+IMPORTRANGE(""https://docs.google.com/spreadsheets/d/1JWG2rZePOz9pe-f-ObA-yDr0VoOX2kSb0qIi"&amp;"x2mTUo8/edit?usp=share_link"",""ตาก!i107"")+IMPORTRANGE(""https://docs.google.com/spreadsheets/d/10nSRjK08hx8Y6HgSOQKNw81lyY46Zc7U_Cj72hBMp9U/edit?usp=share_link"",""นครสวรรค์!i107"")+IMPORTRANGE(""https://docs.google.com/spreadsheets/d/1gFVb7qd7amutrIxAA"&amp;"oM7lcy35hllxznovot8lyOfvDo/edit?usp=share_link"",""น่าน!i107"")+IMPORTRANGE(""https://docs.google.com/spreadsheets/d/1K0Aa9s-6EuHE5M0FG1F9aHLXRCOV917xvycTdLdct0w/edit?usp=share_link"",""พะเยา!i107"")+IMPORTRANGE(""https://docs.google.com/spreadsheets/d/1Y"&amp;"9LPKx95PyL5OKy09d-KbKJSuuEZCFdkhYjwC0XQjBA/edit?usp=share_link"",""พิจิตร!i107"")+IMPORTRANGE(""https://docs.google.com/spreadsheets/d/16OMuOwy2eVqZcYWOouQtTpa8X1L23h4660uVHc0C8os/edit?usp=share_link"",""พิษณุโลก!i107"")+IMPORTRANGE(""https://docs.google."&amp;"com/spreadsheets/d/1GfgTldLG6k77HXaMQzaafODklYuucJZQNs_GAPEfZyY/edit?usp=share_link"",""เพชรบูรณ์!i107"")+IMPORTRANGE(""https://docs.google.com/spreadsheets/d/1gvTMYAnm7v1yG1BKWFtr0DnaTsq59oW9dwWvFgq6hs0/edit?usp=share_link"",""แพร่!i107"")+IMPORTRANGE("""&amp;"https://docs.google.com/spreadsheets/d/1Wbcosgy-Xa1xXUArJSOenub6EfZHUSzc_bpJFWwQUf0/edit?usp=share_link"",""แม่ฮ่องสอน!i107"")+IMPORTRANGE(""https://docs.google.com/spreadsheets/d/1p7ERhsr0qZeSn-KSOdeHS9r0heI-lHtkcn2OH7hP0jQ/edit?usp=share_link"",""ลำปาง!"&amp;"i107"")+IMPORTRANGE(""https://docs.google.com/spreadsheets/d/1-uUXvimVhiU2U0bMN-xi2te0tS4X7DI2GLPnMjzl8cA/edit?usp=share_link"",""ลำพูน!i107"")+IMPORTRANGE(""https://docs.google.com/spreadsheets/d/17HrOaa5pBUI1onckFfumXB8xlg35qb2uBAFfF1D-Myo/edit?usp=shar"&amp;"e_link"",""สุโขทัย!i107"")+IMPORTRANGE(""https://docs.google.com/spreadsheets/d/1ubs5cl16eYL9gHbdHTJtmtYb9MGzHBs7CAphn8kNCgM/edit?usp=share_link"",""อุตรดิตถ์!i107"")+IMPORTRANGE(""https://docs.google.com/spreadsheets/d/1kII0BjS6CtVrBvI8IrytgPdxDrlyQDyigz"&amp;"MsohRtDMs/edit?usp=share_link"",""อุทัยธานี!i107"")
"),14)</f>
        <v>14</v>
      </c>
      <c r="J107" s="183">
        <f ca="1">IFERROR(__xludf.DUMMYFUNCTION("IMPORTRANGE(""https://docs.google.com/spreadsheets/d/1KxicF4apzSqm0-jIpmueT4kyZtE-Cwn5zskl7GD4loQ/edit?usp=share_link"",""กำแพงเพชร!J107"")+IMPORTRANGE(""https://docs.google.com/spreadsheets/d/1ZNYWeiFoFA1K1U4xKWqRX29MBvEyRHXORjo734Gnq_c/edit?usp=share_li"&amp;"nk"",""เชียงราย!J107"")
+IMPORTRANGE(""https://docs.google.com/spreadsheets/d/1Jgv0Y7YlHDtsiDawwp-uvifEJ8HVaSn0k2aGHG8-hwM/edit?usp=share_link"",""เชียงใหม่!J107"")+IMPORTRANGE(""https://docs.google.com/spreadsheets/d/1JWG2rZePOz9pe-f-ObA-yDr0VoOX2kSb0qIi"&amp;"x2mTUo8/edit?usp=share_link"",""ตาก!J107"")+IMPORTRANGE(""https://docs.google.com/spreadsheets/d/10nSRjK08hx8Y6HgSOQKNw81lyY46Zc7U_Cj72hBMp9U/edit?usp=share_link"",""นครสวรรค์!J107"")+IMPORTRANGE(""https://docs.google.com/spreadsheets/d/1gFVb7qd7amutrIxAA"&amp;"oM7lcy35hllxznovot8lyOfvDo/edit?usp=share_link"",""น่าน!J107"")+IMPORTRANGE(""https://docs.google.com/spreadsheets/d/1K0Aa9s-6EuHE5M0FG1F9aHLXRCOV917xvycTdLdct0w/edit?usp=share_link"",""พะเยา!J107"")+IMPORTRANGE(""https://docs.google.com/spreadsheets/d/1Y"&amp;"9LPKx95PyL5OKy09d-KbKJSuuEZCFdkhYjwC0XQjBA/edit?usp=share_link"",""พิจิตร!J107"")+IMPORTRANGE(""https://docs.google.com/spreadsheets/d/16OMuOwy2eVqZcYWOouQtTpa8X1L23h4660uVHc0C8os/edit?usp=share_link"",""พิษณุโลก!J107"")+IMPORTRANGE(""https://docs.google."&amp;"com/spreadsheets/d/1GfgTldLG6k77HXaMQzaafODklYuucJZQNs_GAPEfZyY/edit?usp=share_link"",""เพชรบูรณ์!J107"")+IMPORTRANGE(""https://docs.google.com/spreadsheets/d/1gvTMYAnm7v1yG1BKWFtr0DnaTsq59oW9dwWvFgq6hs0/edit?usp=share_link"",""แพร่!J107"")+IMPORTRANGE("""&amp;"https://docs.google.com/spreadsheets/d/1Wbcosgy-Xa1xXUArJSOenub6EfZHUSzc_bpJFWwQUf0/edit?usp=share_link"",""แม่ฮ่องสอน!J107"")+IMPORTRANGE(""https://docs.google.com/spreadsheets/d/1p7ERhsr0qZeSn-KSOdeHS9r0heI-lHtkcn2OH7hP0jQ/edit?usp=share_link"",""ลำปาง!"&amp;"J107"")+IMPORTRANGE(""https://docs.google.com/spreadsheets/d/1-uUXvimVhiU2U0bMN-xi2te0tS4X7DI2GLPnMjzl8cA/edit?usp=share_link"",""ลำพูน!J107"")+IMPORTRANGE(""https://docs.google.com/spreadsheets/d/17HrOaa5pBUI1onckFfumXB8xlg35qb2uBAFfF1D-Myo/edit?usp=shar"&amp;"e_link"",""สุโขทัย!J107"")+IMPORTRANGE(""https://docs.google.com/spreadsheets/d/1ubs5cl16eYL9gHbdHTJtmtYb9MGzHBs7CAphn8kNCgM/edit?usp=share_link"",""อุตรดิตถ์!J107"")+IMPORTRANGE(""https://docs.google.com/spreadsheets/d/1kII0BjS6CtVrBvI8IrytgPdxDrlyQDyigz"&amp;"MsohRtDMs/edit?usp=share_link"",""อุทัยธานี!J107"")
"),3)</f>
        <v>3</v>
      </c>
      <c r="K107" s="38">
        <f t="shared" ca="1" si="74"/>
        <v>21.428571428571427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xicF4apzSqm0-jIpmueT4kyZtE-Cwn5zskl7GD4loQ/edit?usp=share_link"",""กำแพงเพชร!i109"")+IMPORTRANGE(""https://docs.google.com/spreadsheets/d/1ZNYWeiFoFA1K1U4xKWqRX29MBvEyRHXORjo734Gnq_c/edit?usp=share_li"&amp;"nk"",""เชียงราย!i109"")
+IMPORTRANGE(""https://docs.google.com/spreadsheets/d/1Jgv0Y7YlHDtsiDawwp-uvifEJ8HVaSn0k2aGHG8-hwM/edit?usp=share_link"",""เชียงใหม่!i109"")+IMPORTRANGE(""https://docs.google.com/spreadsheets/d/1JWG2rZePOz9pe-f-ObA-yDr0VoOX2kSb0qIi"&amp;"x2mTUo8/edit?usp=share_link"",""ตาก!i109"")+IMPORTRANGE(""https://docs.google.com/spreadsheets/d/10nSRjK08hx8Y6HgSOQKNw81lyY46Zc7U_Cj72hBMp9U/edit?usp=share_link"",""นครสวรรค์!i109"")+IMPORTRANGE(""https://docs.google.com/spreadsheets/d/1gFVb7qd7amutrIxAA"&amp;"oM7lcy35hllxznovot8lyOfvDo/edit?usp=share_link"",""น่าน!i109"")+IMPORTRANGE(""https://docs.google.com/spreadsheets/d/1K0Aa9s-6EuHE5M0FG1F9aHLXRCOV917xvycTdLdct0w/edit?usp=share_link"",""พะเยา!i109"")+IMPORTRANGE(""https://docs.google.com/spreadsheets/d/1Y"&amp;"9LPKx95PyL5OKy09d-KbKJSuuEZCFdkhYjwC0XQjBA/edit?usp=share_link"",""พิจิตร!i109"")+IMPORTRANGE(""https://docs.google.com/spreadsheets/d/16OMuOwy2eVqZcYWOouQtTpa8X1L23h4660uVHc0C8os/edit?usp=share_link"",""พิษณุโลก!i109"")+IMPORTRANGE(""https://docs.google."&amp;"com/spreadsheets/d/1GfgTldLG6k77HXaMQzaafODklYuucJZQNs_GAPEfZyY/edit?usp=share_link"",""เพชรบูรณ์!i109"")+IMPORTRANGE(""https://docs.google.com/spreadsheets/d/1gvTMYAnm7v1yG1BKWFtr0DnaTsq59oW9dwWvFgq6hs0/edit?usp=share_link"",""แพร่!i109"")+IMPORTRANGE("""&amp;"https://docs.google.com/spreadsheets/d/1Wbcosgy-Xa1xXUArJSOenub6EfZHUSzc_bpJFWwQUf0/edit?usp=share_link"",""แม่ฮ่องสอน!i109"")+IMPORTRANGE(""https://docs.google.com/spreadsheets/d/1p7ERhsr0qZeSn-KSOdeHS9r0heI-lHtkcn2OH7hP0jQ/edit?usp=share_link"",""ลำปาง!"&amp;"i109"")+IMPORTRANGE(""https://docs.google.com/spreadsheets/d/1-uUXvimVhiU2U0bMN-xi2te0tS4X7DI2GLPnMjzl8cA/edit?usp=share_link"",""ลำพูน!i109"")+IMPORTRANGE(""https://docs.google.com/spreadsheets/d/17HrOaa5pBUI1onckFfumXB8xlg35qb2uBAFfF1D-Myo/edit?usp=shar"&amp;"e_link"",""สุโขทัย!i109"")+IMPORTRANGE(""https://docs.google.com/spreadsheets/d/1ubs5cl16eYL9gHbdHTJtmtYb9MGzHBs7CAphn8kNCgM/edit?usp=share_link"",""อุตรดิตถ์!i109"")+IMPORTRANGE(""https://docs.google.com/spreadsheets/d/1kII0BjS6CtVrBvI8IrytgPdxDrlyQDyigz"&amp;"MsohRtDMs/edit?usp=share_link"",""อุทัยธานี!i109"")
"),16)</f>
        <v>16</v>
      </c>
      <c r="J109" s="183">
        <f ca="1">IFERROR(__xludf.DUMMYFUNCTION("IMPORTRANGE(""https://docs.google.com/spreadsheets/d/1KxicF4apzSqm0-jIpmueT4kyZtE-Cwn5zskl7GD4loQ/edit?usp=share_link"",""กำแพงเพชร!J109"")+IMPORTRANGE(""https://docs.google.com/spreadsheets/d/1ZNYWeiFoFA1K1U4xKWqRX29MBvEyRHXORjo734Gnq_c/edit?usp=share_li"&amp;"nk"",""เชียงราย!J109"")
+IMPORTRANGE(""https://docs.google.com/spreadsheets/d/1Jgv0Y7YlHDtsiDawwp-uvifEJ8HVaSn0k2aGHG8-hwM/edit?usp=share_link"",""เชียงใหม่!J109"")+IMPORTRANGE(""https://docs.google.com/spreadsheets/d/1JWG2rZePOz9pe-f-ObA-yDr0VoOX2kSb0qIi"&amp;"x2mTUo8/edit?usp=share_link"",""ตาก!J109"")+IMPORTRANGE(""https://docs.google.com/spreadsheets/d/10nSRjK08hx8Y6HgSOQKNw81lyY46Zc7U_Cj72hBMp9U/edit?usp=share_link"",""นครสวรรค์!J109"")+IMPORTRANGE(""https://docs.google.com/spreadsheets/d/1gFVb7qd7amutrIxAA"&amp;"oM7lcy35hllxznovot8lyOfvDo/edit?usp=share_link"",""น่าน!J109"")+IMPORTRANGE(""https://docs.google.com/spreadsheets/d/1K0Aa9s-6EuHE5M0FG1F9aHLXRCOV917xvycTdLdct0w/edit?usp=share_link"",""พะเยา!J109"")+IMPORTRANGE(""https://docs.google.com/spreadsheets/d/1Y"&amp;"9LPKx95PyL5OKy09d-KbKJSuuEZCFdkhYjwC0XQjBA/edit?usp=share_link"",""พิจิตร!J109"")+IMPORTRANGE(""https://docs.google.com/spreadsheets/d/16OMuOwy2eVqZcYWOouQtTpa8X1L23h4660uVHc0C8os/edit?usp=share_link"",""พิษณุโลก!J109"")+IMPORTRANGE(""https://docs.google."&amp;"com/spreadsheets/d/1GfgTldLG6k77HXaMQzaafODklYuucJZQNs_GAPEfZyY/edit?usp=share_link"",""เพชรบูรณ์!J109"")+IMPORTRANGE(""https://docs.google.com/spreadsheets/d/1gvTMYAnm7v1yG1BKWFtr0DnaTsq59oW9dwWvFgq6hs0/edit?usp=share_link"",""แพร่!J109"")+IMPORTRANGE("""&amp;"https://docs.google.com/spreadsheets/d/1Wbcosgy-Xa1xXUArJSOenub6EfZHUSzc_bpJFWwQUf0/edit?usp=share_link"",""แม่ฮ่องสอน!J109"")+IMPORTRANGE(""https://docs.google.com/spreadsheets/d/1p7ERhsr0qZeSn-KSOdeHS9r0heI-lHtkcn2OH7hP0jQ/edit?usp=share_link"",""ลำปาง!"&amp;"J109"")+IMPORTRANGE(""https://docs.google.com/spreadsheets/d/1-uUXvimVhiU2U0bMN-xi2te0tS4X7DI2GLPnMjzl8cA/edit?usp=share_link"",""ลำพูน!J109"")+IMPORTRANGE(""https://docs.google.com/spreadsheets/d/17HrOaa5pBUI1onckFfumXB8xlg35qb2uBAFfF1D-Myo/edit?usp=shar"&amp;"e_link"",""สุโขทัย!J109"")+IMPORTRANGE(""https://docs.google.com/spreadsheets/d/1ubs5cl16eYL9gHbdHTJtmtYb9MGzHBs7CAphn8kNCgM/edit?usp=share_link"",""อุตรดิตถ์!J109"")+IMPORTRANGE(""https://docs.google.com/spreadsheets/d/1kII0BjS6CtVrBvI8IrytgPdxDrlyQDyigz"&amp;"MsohRtDMs/edit?usp=share_link"",""อุทัยธานี!J109"")
"),4)</f>
        <v>4</v>
      </c>
      <c r="K109" s="38">
        <f t="shared" ref="K109:K116" ca="1" si="75">IF(I109&gt;0,J109*100/I109,0)</f>
        <v>25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xicF4apzSqm0-jIpmueT4kyZtE-Cwn5zskl7GD4loQ/edit?usp=share_link"",""กำแพงเพชร!i110"")+IMPORTRANGE(""https://docs.google.com/spreadsheets/d/1ZNYWeiFoFA1K1U4xKWqRX29MBvEyRHXORjo734Gnq_c/edit?usp=share_li"&amp;"nk"",""เชียงราย!i110"")
+IMPORTRANGE(""https://docs.google.com/spreadsheets/d/1Jgv0Y7YlHDtsiDawwp-uvifEJ8HVaSn0k2aGHG8-hwM/edit?usp=share_link"",""เชียงใหม่!i110"")+IMPORTRANGE(""https://docs.google.com/spreadsheets/d/1JWG2rZePOz9pe-f-ObA-yDr0VoOX2kSb0qIi"&amp;"x2mTUo8/edit?usp=share_link"",""ตาก!i110"")+IMPORTRANGE(""https://docs.google.com/spreadsheets/d/10nSRjK08hx8Y6HgSOQKNw81lyY46Zc7U_Cj72hBMp9U/edit?usp=share_link"",""นครสวรรค์!i110"")+IMPORTRANGE(""https://docs.google.com/spreadsheets/d/1gFVb7qd7amutrIxAA"&amp;"oM7lcy35hllxznovot8lyOfvDo/edit?usp=share_link"",""น่าน!i110"")+IMPORTRANGE(""https://docs.google.com/spreadsheets/d/1K0Aa9s-6EuHE5M0FG1F9aHLXRCOV917xvycTdLdct0w/edit?usp=share_link"",""พะเยา!i110"")+IMPORTRANGE(""https://docs.google.com/spreadsheets/d/1Y"&amp;"9LPKx95PyL5OKy09d-KbKJSuuEZCFdkhYjwC0XQjBA/edit?usp=share_link"",""พิจิตร!i110"")+IMPORTRANGE(""https://docs.google.com/spreadsheets/d/16OMuOwy2eVqZcYWOouQtTpa8X1L23h4660uVHc0C8os/edit?usp=share_link"",""พิษณุโลก!i110"")+IMPORTRANGE(""https://docs.google."&amp;"com/spreadsheets/d/1GfgTldLG6k77HXaMQzaafODklYuucJZQNs_GAPEfZyY/edit?usp=share_link"",""เพชรบูรณ์!i110"")+IMPORTRANGE(""https://docs.google.com/spreadsheets/d/1gvTMYAnm7v1yG1BKWFtr0DnaTsq59oW9dwWvFgq6hs0/edit?usp=share_link"",""แพร่!i110"")+IMPORTRANGE("""&amp;"https://docs.google.com/spreadsheets/d/1Wbcosgy-Xa1xXUArJSOenub6EfZHUSzc_bpJFWwQUf0/edit?usp=share_link"",""แม่ฮ่องสอน!i110"")+IMPORTRANGE(""https://docs.google.com/spreadsheets/d/1p7ERhsr0qZeSn-KSOdeHS9r0heI-lHtkcn2OH7hP0jQ/edit?usp=share_link"",""ลำปาง!"&amp;"i110"")+IMPORTRANGE(""https://docs.google.com/spreadsheets/d/1-uUXvimVhiU2U0bMN-xi2te0tS4X7DI2GLPnMjzl8cA/edit?usp=share_link"",""ลำพูน!i110"")+IMPORTRANGE(""https://docs.google.com/spreadsheets/d/17HrOaa5pBUI1onckFfumXB8xlg35qb2uBAFfF1D-Myo/edit?usp=shar"&amp;"e_link"",""สุโขทัย!i110"")+IMPORTRANGE(""https://docs.google.com/spreadsheets/d/1ubs5cl16eYL9gHbdHTJtmtYb9MGzHBs7CAphn8kNCgM/edit?usp=share_link"",""อุตรดิตถ์!i110"")+IMPORTRANGE(""https://docs.google.com/spreadsheets/d/1kII0BjS6CtVrBvI8IrytgPdxDrlyQDyigz"&amp;"MsohRtDMs/edit?usp=share_link"",""อุทัยธานี!i110"")
"),16)</f>
        <v>16</v>
      </c>
      <c r="J110" s="183">
        <f ca="1">IFERROR(__xludf.DUMMYFUNCTION("IMPORTRANGE(""https://docs.google.com/spreadsheets/d/1KxicF4apzSqm0-jIpmueT4kyZtE-Cwn5zskl7GD4loQ/edit?usp=share_link"",""กำแพงเพชร!J110"")+IMPORTRANGE(""https://docs.google.com/spreadsheets/d/1ZNYWeiFoFA1K1U4xKWqRX29MBvEyRHXORjo734Gnq_c/edit?usp=share_li"&amp;"nk"",""เชียงราย!J110"")
+IMPORTRANGE(""https://docs.google.com/spreadsheets/d/1Jgv0Y7YlHDtsiDawwp-uvifEJ8HVaSn0k2aGHG8-hwM/edit?usp=share_link"",""เชียงใหม่!J110"")+IMPORTRANGE(""https://docs.google.com/spreadsheets/d/1JWG2rZePOz9pe-f-ObA-yDr0VoOX2kSb0qIi"&amp;"x2mTUo8/edit?usp=share_link"",""ตาก!J110"")+IMPORTRANGE(""https://docs.google.com/spreadsheets/d/10nSRjK08hx8Y6HgSOQKNw81lyY46Zc7U_Cj72hBMp9U/edit?usp=share_link"",""นครสวรรค์!J110"")+IMPORTRANGE(""https://docs.google.com/spreadsheets/d/1gFVb7qd7amutrIxAA"&amp;"oM7lcy35hllxznovot8lyOfvDo/edit?usp=share_link"",""น่าน!J110"")+IMPORTRANGE(""https://docs.google.com/spreadsheets/d/1K0Aa9s-6EuHE5M0FG1F9aHLXRCOV917xvycTdLdct0w/edit?usp=share_link"",""พะเยา!J110"")+IMPORTRANGE(""https://docs.google.com/spreadsheets/d/1Y"&amp;"9LPKx95PyL5OKy09d-KbKJSuuEZCFdkhYjwC0XQjBA/edit?usp=share_link"",""พิจิตร!J110"")+IMPORTRANGE(""https://docs.google.com/spreadsheets/d/16OMuOwy2eVqZcYWOouQtTpa8X1L23h4660uVHc0C8os/edit?usp=share_link"",""พิษณุโลก!J110"")+IMPORTRANGE(""https://docs.google."&amp;"com/spreadsheets/d/1GfgTldLG6k77HXaMQzaafODklYuucJZQNs_GAPEfZyY/edit?usp=share_link"",""เพชรบูรณ์!J110"")+IMPORTRANGE(""https://docs.google.com/spreadsheets/d/1gvTMYAnm7v1yG1BKWFtr0DnaTsq59oW9dwWvFgq6hs0/edit?usp=share_link"",""แพร่!J110"")+IMPORTRANGE("""&amp;"https://docs.google.com/spreadsheets/d/1Wbcosgy-Xa1xXUArJSOenub6EfZHUSzc_bpJFWwQUf0/edit?usp=share_link"",""แม่ฮ่องสอน!J110"")+IMPORTRANGE(""https://docs.google.com/spreadsheets/d/1p7ERhsr0qZeSn-KSOdeHS9r0heI-lHtkcn2OH7hP0jQ/edit?usp=share_link"",""ลำปาง!"&amp;"J110"")+IMPORTRANGE(""https://docs.google.com/spreadsheets/d/1-uUXvimVhiU2U0bMN-xi2te0tS4X7DI2GLPnMjzl8cA/edit?usp=share_link"",""ลำพูน!J110"")+IMPORTRANGE(""https://docs.google.com/spreadsheets/d/17HrOaa5pBUI1onckFfumXB8xlg35qb2uBAFfF1D-Myo/edit?usp=shar"&amp;"e_link"",""สุโขทัย!J110"")+IMPORTRANGE(""https://docs.google.com/spreadsheets/d/1ubs5cl16eYL9gHbdHTJtmtYb9MGzHBs7CAphn8kNCgM/edit?usp=share_link"",""อุตรดิตถ์!J110"")+IMPORTRANGE(""https://docs.google.com/spreadsheets/d/1kII0BjS6CtVrBvI8IrytgPdxDrlyQDyigz"&amp;"MsohRtDMs/edit?usp=share_link"",""อุทัยธานี!J110"")
"),2)</f>
        <v>2</v>
      </c>
      <c r="K110" s="38">
        <f t="shared" ca="1" si="75"/>
        <v>12.5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xicF4apzSqm0-jIpmueT4kyZtE-Cwn5zskl7GD4loQ/edit?usp=share_link"",""กำแพงเพชร!i111"")+IMPORTRANGE(""https://docs.google.com/spreadsheets/d/1ZNYWeiFoFA1K1U4xKWqRX29MBvEyRHXORjo734Gnq_c/edit?usp=share_li"&amp;"nk"",""เชียงราย!i111"")
+IMPORTRANGE(""https://docs.google.com/spreadsheets/d/1Jgv0Y7YlHDtsiDawwp-uvifEJ8HVaSn0k2aGHG8-hwM/edit?usp=share_link"",""เชียงใหม่!i111"")+IMPORTRANGE(""https://docs.google.com/spreadsheets/d/1JWG2rZePOz9pe-f-ObA-yDr0VoOX2kSb0qIi"&amp;"x2mTUo8/edit?usp=share_link"",""ตาก!i111"")+IMPORTRANGE(""https://docs.google.com/spreadsheets/d/10nSRjK08hx8Y6HgSOQKNw81lyY46Zc7U_Cj72hBMp9U/edit?usp=share_link"",""นครสวรรค์!i111"")+IMPORTRANGE(""https://docs.google.com/spreadsheets/d/1gFVb7qd7amutrIxAA"&amp;"oM7lcy35hllxznovot8lyOfvDo/edit?usp=share_link"",""น่าน!i111"")+IMPORTRANGE(""https://docs.google.com/spreadsheets/d/1K0Aa9s-6EuHE5M0FG1F9aHLXRCOV917xvycTdLdct0w/edit?usp=share_link"",""พะเยา!i111"")+IMPORTRANGE(""https://docs.google.com/spreadsheets/d/1Y"&amp;"9LPKx95PyL5OKy09d-KbKJSuuEZCFdkhYjwC0XQjBA/edit?usp=share_link"",""พิจิตร!i111"")+IMPORTRANGE(""https://docs.google.com/spreadsheets/d/16OMuOwy2eVqZcYWOouQtTpa8X1L23h4660uVHc0C8os/edit?usp=share_link"",""พิษณุโลก!i111"")+IMPORTRANGE(""https://docs.google."&amp;"com/spreadsheets/d/1GfgTldLG6k77HXaMQzaafODklYuucJZQNs_GAPEfZyY/edit?usp=share_link"",""เพชรบูรณ์!i111"")+IMPORTRANGE(""https://docs.google.com/spreadsheets/d/1gvTMYAnm7v1yG1BKWFtr0DnaTsq59oW9dwWvFgq6hs0/edit?usp=share_link"",""แพร่!i111"")+IMPORTRANGE("""&amp;"https://docs.google.com/spreadsheets/d/1Wbcosgy-Xa1xXUArJSOenub6EfZHUSzc_bpJFWwQUf0/edit?usp=share_link"",""แม่ฮ่องสอน!i111"")+IMPORTRANGE(""https://docs.google.com/spreadsheets/d/1p7ERhsr0qZeSn-KSOdeHS9r0heI-lHtkcn2OH7hP0jQ/edit?usp=share_link"",""ลำปาง!"&amp;"i111"")+IMPORTRANGE(""https://docs.google.com/spreadsheets/d/1-uUXvimVhiU2U0bMN-xi2te0tS4X7DI2GLPnMjzl8cA/edit?usp=share_link"",""ลำพูน!i111"")+IMPORTRANGE(""https://docs.google.com/spreadsheets/d/17HrOaa5pBUI1onckFfumXB8xlg35qb2uBAFfF1D-Myo/edit?usp=shar"&amp;"e_link"",""สุโขทัย!i111"")+IMPORTRANGE(""https://docs.google.com/spreadsheets/d/1ubs5cl16eYL9gHbdHTJtmtYb9MGzHBs7CAphn8kNCgM/edit?usp=share_link"",""อุตรดิตถ์!i111"")+IMPORTRANGE(""https://docs.google.com/spreadsheets/d/1kII0BjS6CtVrBvI8IrytgPdxDrlyQDyigz"&amp;"MsohRtDMs/edit?usp=share_link"",""อุทัยธานี!i111"")
"),325)</f>
        <v>325</v>
      </c>
      <c r="J111" s="194">
        <f ca="1">J114</f>
        <v>0</v>
      </c>
      <c r="K111" s="195">
        <f t="shared" ca="1" si="75"/>
        <v>0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30</v>
      </c>
      <c r="J112" s="194">
        <f t="shared" ca="1" si="76"/>
        <v>0</v>
      </c>
      <c r="K112" s="195">
        <f t="shared" ca="1" si="75"/>
        <v>0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xicF4apzSqm0-jIpmueT4kyZtE-Cwn5zskl7GD4loQ/edit?usp=share_link"",""กำแพงเพชร!i113"")+IMPORTRANGE(""https://docs.google.com/spreadsheets/d/1ZNYWeiFoFA1K1U4xKWqRX29MBvEyRHXORjo734Gnq_c/edit?usp=share_li"&amp;"nk"",""เชียงราย!i113"")
+IMPORTRANGE(""https://docs.google.com/spreadsheets/d/1Jgv0Y7YlHDtsiDawwp-uvifEJ8HVaSn0k2aGHG8-hwM/edit?usp=share_link"",""เชียงใหม่!i113"")+IMPORTRANGE(""https://docs.google.com/spreadsheets/d/1JWG2rZePOz9pe-f-ObA-yDr0VoOX2kSb0qIi"&amp;"x2mTUo8/edit?usp=share_link"",""ตาก!i113"")+IMPORTRANGE(""https://docs.google.com/spreadsheets/d/10nSRjK08hx8Y6HgSOQKNw81lyY46Zc7U_Cj72hBMp9U/edit?usp=share_link"",""นครสวรรค์!i113"")+IMPORTRANGE(""https://docs.google.com/spreadsheets/d/1gFVb7qd7amutrIxAA"&amp;"oM7lcy35hllxznovot8lyOfvDo/edit?usp=share_link"",""น่าน!i113"")+IMPORTRANGE(""https://docs.google.com/spreadsheets/d/1K0Aa9s-6EuHE5M0FG1F9aHLXRCOV917xvycTdLdct0w/edit?usp=share_link"",""พะเยา!i113"")+IMPORTRANGE(""https://docs.google.com/spreadsheets/d/1Y"&amp;"9LPKx95PyL5OKy09d-KbKJSuuEZCFdkhYjwC0XQjBA/edit?usp=share_link"",""พิจิตร!i113"")+IMPORTRANGE(""https://docs.google.com/spreadsheets/d/16OMuOwy2eVqZcYWOouQtTpa8X1L23h4660uVHc0C8os/edit?usp=share_link"",""พิษณุโลก!i113"")+IMPORTRANGE(""https://docs.google."&amp;"com/spreadsheets/d/1GfgTldLG6k77HXaMQzaafODklYuucJZQNs_GAPEfZyY/edit?usp=share_link"",""เพชรบูรณ์!i113"")+IMPORTRANGE(""https://docs.google.com/spreadsheets/d/1gvTMYAnm7v1yG1BKWFtr0DnaTsq59oW9dwWvFgq6hs0/edit?usp=share_link"",""แพร่!i113"")+IMPORTRANGE("""&amp;"https://docs.google.com/spreadsheets/d/1Wbcosgy-Xa1xXUArJSOenub6EfZHUSzc_bpJFWwQUf0/edit?usp=share_link"",""แม่ฮ่องสอน!i113"")+IMPORTRANGE(""https://docs.google.com/spreadsheets/d/1p7ERhsr0qZeSn-KSOdeHS9r0heI-lHtkcn2OH7hP0jQ/edit?usp=share_link"",""ลำปาง!"&amp;"i113"")+IMPORTRANGE(""https://docs.google.com/spreadsheets/d/1-uUXvimVhiU2U0bMN-xi2te0tS4X7DI2GLPnMjzl8cA/edit?usp=share_link"",""ลำพูน!i113"")+IMPORTRANGE(""https://docs.google.com/spreadsheets/d/17HrOaa5pBUI1onckFfumXB8xlg35qb2uBAFfF1D-Myo/edit?usp=shar"&amp;"e_link"",""สุโขทัย!i113"")+IMPORTRANGE(""https://docs.google.com/spreadsheets/d/1ubs5cl16eYL9gHbdHTJtmtYb9MGzHBs7CAphn8kNCgM/edit?usp=share_link"",""อุตรดิตถ์!i113"")+IMPORTRANGE(""https://docs.google.com/spreadsheets/d/1kII0BjS6CtVrBvI8IrytgPdxDrlyQDyigz"&amp;"MsohRtDMs/edit?usp=share_link"",""อุทัยธานี!i113"")
"),325)</f>
        <v>325</v>
      </c>
      <c r="J113" s="183">
        <f ca="1">IFERROR(__xludf.DUMMYFUNCTION("IMPORTRANGE(""https://docs.google.com/spreadsheets/d/1KxicF4apzSqm0-jIpmueT4kyZtE-Cwn5zskl7GD4loQ/edit?usp=share_link"",""กำแพงเพชร!J113"")+IMPORTRANGE(""https://docs.google.com/spreadsheets/d/1ZNYWeiFoFA1K1U4xKWqRX29MBvEyRHXORjo734Gnq_c/edit?usp=share_li"&amp;"nk"",""เชียงราย!J113"")
+IMPORTRANGE(""https://docs.google.com/spreadsheets/d/1Jgv0Y7YlHDtsiDawwp-uvifEJ8HVaSn0k2aGHG8-hwM/edit?usp=share_link"",""เชียงใหม่!J113"")+IMPORTRANGE(""https://docs.google.com/spreadsheets/d/1JWG2rZePOz9pe-f-ObA-yDr0VoOX2kSb0qIi"&amp;"x2mTUo8/edit?usp=share_link"",""ตาก!J113"")+IMPORTRANGE(""https://docs.google.com/spreadsheets/d/10nSRjK08hx8Y6HgSOQKNw81lyY46Zc7U_Cj72hBMp9U/edit?usp=share_link"",""นครสวรรค์!J113"")+IMPORTRANGE(""https://docs.google.com/spreadsheets/d/1gFVb7qd7amutrIxAA"&amp;"oM7lcy35hllxznovot8lyOfvDo/edit?usp=share_link"",""น่าน!J113"")+IMPORTRANGE(""https://docs.google.com/spreadsheets/d/1K0Aa9s-6EuHE5M0FG1F9aHLXRCOV917xvycTdLdct0w/edit?usp=share_link"",""พะเยา!J113"")+IMPORTRANGE(""https://docs.google.com/spreadsheets/d/1Y"&amp;"9LPKx95PyL5OKy09d-KbKJSuuEZCFdkhYjwC0XQjBA/edit?usp=share_link"",""พิจิตร!J113"")+IMPORTRANGE(""https://docs.google.com/spreadsheets/d/16OMuOwy2eVqZcYWOouQtTpa8X1L23h4660uVHc0C8os/edit?usp=share_link"",""พิษณุโลก!J113"")+IMPORTRANGE(""https://docs.google."&amp;"com/spreadsheets/d/1GfgTldLG6k77HXaMQzaafODklYuucJZQNs_GAPEfZyY/edit?usp=share_link"",""เพชรบูรณ์!J113"")+IMPORTRANGE(""https://docs.google.com/spreadsheets/d/1gvTMYAnm7v1yG1BKWFtr0DnaTsq59oW9dwWvFgq6hs0/edit?usp=share_link"",""แพร่!J113"")+IMPORTRANGE("""&amp;"https://docs.google.com/spreadsheets/d/1Wbcosgy-Xa1xXUArJSOenub6EfZHUSzc_bpJFWwQUf0/edit?usp=share_link"",""แม่ฮ่องสอน!J113"")+IMPORTRANGE(""https://docs.google.com/spreadsheets/d/1p7ERhsr0qZeSn-KSOdeHS9r0heI-lHtkcn2OH7hP0jQ/edit?usp=share_link"",""ลำปาง!"&amp;"J113"")+IMPORTRANGE(""https://docs.google.com/spreadsheets/d/1-uUXvimVhiU2U0bMN-xi2te0tS4X7DI2GLPnMjzl8cA/edit?usp=share_link"",""ลำพูน!J113"")+IMPORTRANGE(""https://docs.google.com/spreadsheets/d/17HrOaa5pBUI1onckFfumXB8xlg35qb2uBAFfF1D-Myo/edit?usp=shar"&amp;"e_link"",""สุโขทัย!J113"")+IMPORTRANGE(""https://docs.google.com/spreadsheets/d/1ubs5cl16eYL9gHbdHTJtmtYb9MGzHBs7CAphn8kNCgM/edit?usp=share_link"",""อุตรดิตถ์!J113"")+IMPORTRANGE(""https://docs.google.com/spreadsheets/d/1kII0BjS6CtVrBvI8IrytgPdxDrlyQDyigz"&amp;"MsohRtDMs/edit?usp=share_link"",""อุทัยธานี!J113"")
"),0)</f>
        <v>0</v>
      </c>
      <c r="K113" s="38">
        <f t="shared" ca="1" si="75"/>
        <v>0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114" s="183">
        <f ca="1">IFERROR(__xludf.DUMMYFUNCTION("IMPORTRANGE(""https://docs.google.com/spreadsheets/d/1KxicF4apzSqm0-jIpmueT4kyZtE-Cwn5zskl7GD4loQ/edit?usp=share_link"",""กำแพงเพชร!J114"")+IMPORTRANGE(""https://docs.google.com/spreadsheets/d/1ZNYWeiFoFA1K1U4xKWqRX29MBvEyRHXORjo734Gnq_c/edit?usp=share_li"&amp;"nk"",""เชียงราย!J114"")
+IMPORTRANGE(""https://docs.google.com/spreadsheets/d/1Jgv0Y7YlHDtsiDawwp-uvifEJ8HVaSn0k2aGHG8-hwM/edit?usp=share_link"",""เชียงใหม่!J114"")+IMPORTRANGE(""https://docs.google.com/spreadsheets/d/1JWG2rZePOz9pe-f-ObA-yDr0VoOX2kSb0qIi"&amp;"x2mTUo8/edit?usp=share_link"",""ตาก!J114"")+IMPORTRANGE(""https://docs.google.com/spreadsheets/d/10nSRjK08hx8Y6HgSOQKNw81lyY46Zc7U_Cj72hBMp9U/edit?usp=share_link"",""นครสวรรค์!J114"")+IMPORTRANGE(""https://docs.google.com/spreadsheets/d/1gFVb7qd7amutrIxAA"&amp;"oM7lcy35hllxznovot8lyOfvDo/edit?usp=share_link"",""น่าน!J114"")+IMPORTRANGE(""https://docs.google.com/spreadsheets/d/1K0Aa9s-6EuHE5M0FG1F9aHLXRCOV917xvycTdLdct0w/edit?usp=share_link"",""พะเยา!J114"")+IMPORTRANGE(""https://docs.google.com/spreadsheets/d/1Y"&amp;"9LPKx95PyL5OKy09d-KbKJSuuEZCFdkhYjwC0XQjBA/edit?usp=share_link"",""พิจิตร!J114"")+IMPORTRANGE(""https://docs.google.com/spreadsheets/d/16OMuOwy2eVqZcYWOouQtTpa8X1L23h4660uVHc0C8os/edit?usp=share_link"",""พิษณุโลก!J114"")+IMPORTRANGE(""https://docs.google."&amp;"com/spreadsheets/d/1GfgTldLG6k77HXaMQzaafODklYuucJZQNs_GAPEfZyY/edit?usp=share_link"",""เพชรบูรณ์!J114"")+IMPORTRANGE(""https://docs.google.com/spreadsheets/d/1gvTMYAnm7v1yG1BKWFtr0DnaTsq59oW9dwWvFgq6hs0/edit?usp=share_link"",""แพร่!J114"")+IMPORTRANGE("""&amp;"https://docs.google.com/spreadsheets/d/1Wbcosgy-Xa1xXUArJSOenub6EfZHUSzc_bpJFWwQUf0/edit?usp=share_link"",""แม่ฮ่องสอน!J114"")+IMPORTRANGE(""https://docs.google.com/spreadsheets/d/1p7ERhsr0qZeSn-KSOdeHS9r0heI-lHtkcn2OH7hP0jQ/edit?usp=share_link"",""ลำปาง!"&amp;"J114"")+IMPORTRANGE(""https://docs.google.com/spreadsheets/d/1-uUXvimVhiU2U0bMN-xi2te0tS4X7DI2GLPnMjzl8cA/edit?usp=share_link"",""ลำพูน!J114"")+IMPORTRANGE(""https://docs.google.com/spreadsheets/d/17HrOaa5pBUI1onckFfumXB8xlg35qb2uBAFfF1D-Myo/edit?usp=shar"&amp;"e_link"",""สุโขทัย!J114"")+IMPORTRANGE(""https://docs.google.com/spreadsheets/d/1ubs5cl16eYL9gHbdHTJtmtYb9MGzHBs7CAphn8kNCgM/edit?usp=share_link"",""อุตรดิตถ์!J114"")+IMPORTRANGE(""https://docs.google.com/spreadsheets/d/1kII0BjS6CtVrBvI8IrytgPdxDrlyQDyigz"&amp;"MsohRtDMs/edit?usp=share_link"",""อุทัยธานี!J114"")
"),0)</f>
        <v>0</v>
      </c>
      <c r="K114" s="38">
        <f t="shared" ca="1" si="75"/>
        <v>0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xicF4apzSqm0-jIpmueT4kyZtE-Cwn5zskl7GD4loQ/edit?usp=share_link"",""กำแพงเพชร!I115"")+IMPORTRANGE(""https://docs.google.com/spreadsheets/d/1ZNYWeiFoFA1K1U4xKWqRX29MBvEyRHXORjo734Gnq_c/edit?usp=share_li"&amp;"nk"",""เชียงราย!I115"")
+IMPORTRANGE(""https://docs.google.com/spreadsheets/d/1Jgv0Y7YlHDtsiDawwp-uvifEJ8HVaSn0k2aGHG8-hwM/edit?usp=share_link"",""เชียงใหม่!I115"")+IMPORTRANGE(""https://docs.google.com/spreadsheets/d/1JWG2rZePOz9pe-f-ObA-yDr0VoOX2kSb0qIi"&amp;"x2mTUo8/edit?usp=share_link"",""ตาก!I115"")+IMPORTRANGE(""https://docs.google.com/spreadsheets/d/10nSRjK08hx8Y6HgSOQKNw81lyY46Zc7U_Cj72hBMp9U/edit?usp=share_link"",""นครสวรรค์!I115"")+IMPORTRANGE(""https://docs.google.com/spreadsheets/d/1gFVb7qd7amutrIxAA"&amp;"oM7lcy35hllxznovot8lyOfvDo/edit?usp=share_link"",""น่าน!I115"")+IMPORTRANGE(""https://docs.google.com/spreadsheets/d/1K0Aa9s-6EuHE5M0FG1F9aHLXRCOV917xvycTdLdct0w/edit?usp=share_link"",""พะเยา!I115"")+IMPORTRANGE(""https://docs.google.com/spreadsheets/d/1Y"&amp;"9LPKx95PyL5OKy09d-KbKJSuuEZCFdkhYjwC0XQjBA/edit?usp=share_link"",""พิจิตร!I115"")+IMPORTRANGE(""https://docs.google.com/spreadsheets/d/16OMuOwy2eVqZcYWOouQtTpa8X1L23h4660uVHc0C8os/edit?usp=share_link"",""พิษณุโลก!I115"")+IMPORTRANGE(""https://docs.google."&amp;"com/spreadsheets/d/1GfgTldLG6k77HXaMQzaafODklYuucJZQNs_GAPEfZyY/edit?usp=share_link"",""เพชรบูรณ์!I115"")+IMPORTRANGE(""https://docs.google.com/spreadsheets/d/1gvTMYAnm7v1yG1BKWFtr0DnaTsq59oW9dwWvFgq6hs0/edit?usp=share_link"",""แพร่!I115"")+IMPORTRANGE("""&amp;"https://docs.google.com/spreadsheets/d/1Wbcosgy-Xa1xXUArJSOenub6EfZHUSzc_bpJFWwQUf0/edit?usp=share_link"",""แม่ฮ่องสอน!I115"")+IMPORTRANGE(""https://docs.google.com/spreadsheets/d/1p7ERhsr0qZeSn-KSOdeHS9r0heI-lHtkcn2OH7hP0jQ/edit?usp=share_link"",""ลำปาง!"&amp;"I115"")+IMPORTRANGE(""https://docs.google.com/spreadsheets/d/1-uUXvimVhiU2U0bMN-xi2te0tS4X7DI2GLPnMjzl8cA/edit?usp=share_link"",""ลำพูน!I115"")+IMPORTRANGE(""https://docs.google.com/spreadsheets/d/17HrOaa5pBUI1onckFfumXB8xlg35qb2uBAFfF1D-Myo/edit?usp=shar"&amp;"e_link"",""สุโขทัย!I115"")+IMPORTRANGE(""https://docs.google.com/spreadsheets/d/1ubs5cl16eYL9gHbdHTJtmtYb9MGzHBs7CAphn8kNCgM/edit?usp=share_link"",""อุตรดิตถ์!I115"")+IMPORTRANGE(""https://docs.google.com/spreadsheets/d/1kII0BjS6CtVrBvI8IrytgPdxDrlyQDyigz"&amp;"MsohRtDMs/edit?usp=share_link"",""อุทัยธานี!I115"")
"),14)</f>
        <v>14</v>
      </c>
      <c r="J115" s="183">
        <f ca="1">IFERROR(__xludf.DUMMYFUNCTION("IMPORTRANGE(""https://docs.google.com/spreadsheets/d/1KxicF4apzSqm0-jIpmueT4kyZtE-Cwn5zskl7GD4loQ/edit?usp=share_link"",""กำแพงเพชร!J115"")+IMPORTRANGE(""https://docs.google.com/spreadsheets/d/1ZNYWeiFoFA1K1U4xKWqRX29MBvEyRHXORjo734Gnq_c/edit?usp=share_li"&amp;"nk"",""เชียงราย!J115"")
+IMPORTRANGE(""https://docs.google.com/spreadsheets/d/1Jgv0Y7YlHDtsiDawwp-uvifEJ8HVaSn0k2aGHG8-hwM/edit?usp=share_link"",""เชียงใหม่!J115"")+IMPORTRANGE(""https://docs.google.com/spreadsheets/d/1JWG2rZePOz9pe-f-ObA-yDr0VoOX2kSb0qIi"&amp;"x2mTUo8/edit?usp=share_link"",""ตาก!J115"")+IMPORTRANGE(""https://docs.google.com/spreadsheets/d/10nSRjK08hx8Y6HgSOQKNw81lyY46Zc7U_Cj72hBMp9U/edit?usp=share_link"",""นครสวรรค์!J115"")+IMPORTRANGE(""https://docs.google.com/spreadsheets/d/1gFVb7qd7amutrIxAA"&amp;"oM7lcy35hllxznovot8lyOfvDo/edit?usp=share_link"",""น่าน!J115"")+IMPORTRANGE(""https://docs.google.com/spreadsheets/d/1K0Aa9s-6EuHE5M0FG1F9aHLXRCOV917xvycTdLdct0w/edit?usp=share_link"",""พะเยา!J115"")+IMPORTRANGE(""https://docs.google.com/spreadsheets/d/1Y"&amp;"9LPKx95PyL5OKy09d-KbKJSuuEZCFdkhYjwC0XQjBA/edit?usp=share_link"",""พิจิตร!J115"")+IMPORTRANGE(""https://docs.google.com/spreadsheets/d/16OMuOwy2eVqZcYWOouQtTpa8X1L23h4660uVHc0C8os/edit?usp=share_link"",""พิษณุโลก!J115"")+IMPORTRANGE(""https://docs.google."&amp;"com/spreadsheets/d/1GfgTldLG6k77HXaMQzaafODklYuucJZQNs_GAPEfZyY/edit?usp=share_link"",""เพชรบูรณ์!J115"")+IMPORTRANGE(""https://docs.google.com/spreadsheets/d/1gvTMYAnm7v1yG1BKWFtr0DnaTsq59oW9dwWvFgq6hs0/edit?usp=share_link"",""แพร่!J115"")+IMPORTRANGE("""&amp;"https://docs.google.com/spreadsheets/d/1Wbcosgy-Xa1xXUArJSOenub6EfZHUSzc_bpJFWwQUf0/edit?usp=share_link"",""แม่ฮ่องสอน!J115"")+IMPORTRANGE(""https://docs.google.com/spreadsheets/d/1p7ERhsr0qZeSn-KSOdeHS9r0heI-lHtkcn2OH7hP0jQ/edit?usp=share_link"",""ลำปาง!"&amp;"J115"")+IMPORTRANGE(""https://docs.google.com/spreadsheets/d/1-uUXvimVhiU2U0bMN-xi2te0tS4X7DI2GLPnMjzl8cA/edit?usp=share_link"",""ลำพูน!J115"")+IMPORTRANGE(""https://docs.google.com/spreadsheets/d/17HrOaa5pBUI1onckFfumXB8xlg35qb2uBAFfF1D-Myo/edit?usp=shar"&amp;"e_link"",""สุโขทัย!J115"")+IMPORTRANGE(""https://docs.google.com/spreadsheets/d/1ubs5cl16eYL9gHbdHTJtmtYb9MGzHBs7CAphn8kNCgM/edit?usp=share_link"",""อุตรดิตถ์!J115"")+IMPORTRANGE(""https://docs.google.com/spreadsheets/d/1kII0BjS6CtVrBvI8IrytgPdxDrlyQDyigz"&amp;"MsohRtDMs/edit?usp=share_link"",""อุทัยธานี!J115"")
"),0)</f>
        <v>0</v>
      </c>
      <c r="K115" s="38">
        <f t="shared" ca="1" si="75"/>
        <v>0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xicF4apzSqm0-jIpmueT4kyZtE-Cwn5zskl7GD4loQ/edit?usp=share_link"",""กำแพงเพชร!I116"")+IMPORTRANGE(""https://docs.google.com/spreadsheets/d/1ZNYWeiFoFA1K1U4xKWqRX29MBvEyRHXORjo734Gnq_c/edit?usp=share_li"&amp;"nk"",""เชียงราย!I116"")
+IMPORTRANGE(""https://docs.google.com/spreadsheets/d/1Jgv0Y7YlHDtsiDawwp-uvifEJ8HVaSn0k2aGHG8-hwM/edit?usp=share_link"",""เชียงใหม่!I116"")+IMPORTRANGE(""https://docs.google.com/spreadsheets/d/1JWG2rZePOz9pe-f-ObA-yDr0VoOX2kSb0qIi"&amp;"x2mTUo8/edit?usp=share_link"",""ตาก!I116"")+IMPORTRANGE(""https://docs.google.com/spreadsheets/d/10nSRjK08hx8Y6HgSOQKNw81lyY46Zc7U_Cj72hBMp9U/edit?usp=share_link"",""นครสวรรค์!I116"")+IMPORTRANGE(""https://docs.google.com/spreadsheets/d/1gFVb7qd7amutrIxAA"&amp;"oM7lcy35hllxznovot8lyOfvDo/edit?usp=share_link"",""น่าน!I116"")+IMPORTRANGE(""https://docs.google.com/spreadsheets/d/1K0Aa9s-6EuHE5M0FG1F9aHLXRCOV917xvycTdLdct0w/edit?usp=share_link"",""พะเยา!I116"")+IMPORTRANGE(""https://docs.google.com/spreadsheets/d/1Y"&amp;"9LPKx95PyL5OKy09d-KbKJSuuEZCFdkhYjwC0XQjBA/edit?usp=share_link"",""พิจิตร!I116"")+IMPORTRANGE(""https://docs.google.com/spreadsheets/d/16OMuOwy2eVqZcYWOouQtTpa8X1L23h4660uVHc0C8os/edit?usp=share_link"",""พิษณุโลก!I116"")+IMPORTRANGE(""https://docs.google."&amp;"com/spreadsheets/d/1GfgTldLG6k77HXaMQzaafODklYuucJZQNs_GAPEfZyY/edit?usp=share_link"",""เพชรบูรณ์!I116"")+IMPORTRANGE(""https://docs.google.com/spreadsheets/d/1gvTMYAnm7v1yG1BKWFtr0DnaTsq59oW9dwWvFgq6hs0/edit?usp=share_link"",""แพร่!I116"")+IMPORTRANGE("""&amp;"https://docs.google.com/spreadsheets/d/1Wbcosgy-Xa1xXUArJSOenub6EfZHUSzc_bpJFWwQUf0/edit?usp=share_link"",""แม่ฮ่องสอน!I116"")+IMPORTRANGE(""https://docs.google.com/spreadsheets/d/1p7ERhsr0qZeSn-KSOdeHS9r0heI-lHtkcn2OH7hP0jQ/edit?usp=share_link"",""ลำปาง!"&amp;"I116"")+IMPORTRANGE(""https://docs.google.com/spreadsheets/d/1-uUXvimVhiU2U0bMN-xi2te0tS4X7DI2GLPnMjzl8cA/edit?usp=share_link"",""ลำพูน!I116"")+IMPORTRANGE(""https://docs.google.com/spreadsheets/d/17HrOaa5pBUI1onckFfumXB8xlg35qb2uBAFfF1D-Myo/edit?usp=shar"&amp;"e_link"",""สุโขทัย!I116"")+IMPORTRANGE(""https://docs.google.com/spreadsheets/d/1ubs5cl16eYL9gHbdHTJtmtYb9MGzHBs7CAphn8kNCgM/edit?usp=share_link"",""อุตรดิตถ์!I116"")+IMPORTRANGE(""https://docs.google.com/spreadsheets/d/1kII0BjS6CtVrBvI8IrytgPdxDrlyQDyigz"&amp;"MsohRtDMs/edit?usp=share_link"",""อุทัยธานี!I116"")
"),16)</f>
        <v>16</v>
      </c>
      <c r="J116" s="183">
        <f ca="1">IFERROR(__xludf.DUMMYFUNCTION("IMPORTRANGE(""https://docs.google.com/spreadsheets/d/1KxicF4apzSqm0-jIpmueT4kyZtE-Cwn5zskl7GD4loQ/edit?usp=share_link"",""กำแพงเพชร!J116"")+IMPORTRANGE(""https://docs.google.com/spreadsheets/d/1ZNYWeiFoFA1K1U4xKWqRX29MBvEyRHXORjo734Gnq_c/edit?usp=share_li"&amp;"nk"",""เชียงราย!J116"")
+IMPORTRANGE(""https://docs.google.com/spreadsheets/d/1Jgv0Y7YlHDtsiDawwp-uvifEJ8HVaSn0k2aGHG8-hwM/edit?usp=share_link"",""เชียงใหม่!J116"")+IMPORTRANGE(""https://docs.google.com/spreadsheets/d/1JWG2rZePOz9pe-f-ObA-yDr0VoOX2kSb0qIi"&amp;"x2mTUo8/edit?usp=share_link"",""ตาก!J116"")+IMPORTRANGE(""https://docs.google.com/spreadsheets/d/10nSRjK08hx8Y6HgSOQKNw81lyY46Zc7U_Cj72hBMp9U/edit?usp=share_link"",""นครสวรรค์!J116"")+IMPORTRANGE(""https://docs.google.com/spreadsheets/d/1gFVb7qd7amutrIxAA"&amp;"oM7lcy35hllxznovot8lyOfvDo/edit?usp=share_link"",""น่าน!J116"")+IMPORTRANGE(""https://docs.google.com/spreadsheets/d/1K0Aa9s-6EuHE5M0FG1F9aHLXRCOV917xvycTdLdct0w/edit?usp=share_link"",""พะเยา!J116"")+IMPORTRANGE(""https://docs.google.com/spreadsheets/d/1Y"&amp;"9LPKx95PyL5OKy09d-KbKJSuuEZCFdkhYjwC0XQjBA/edit?usp=share_link"",""พิจิตร!J116"")+IMPORTRANGE(""https://docs.google.com/spreadsheets/d/16OMuOwy2eVqZcYWOouQtTpa8X1L23h4660uVHc0C8os/edit?usp=share_link"",""พิษณุโลก!J116"")+IMPORTRANGE(""https://docs.google."&amp;"com/spreadsheets/d/1GfgTldLG6k77HXaMQzaafODklYuucJZQNs_GAPEfZyY/edit?usp=share_link"",""เพชรบูรณ์!J116"")+IMPORTRANGE(""https://docs.google.com/spreadsheets/d/1gvTMYAnm7v1yG1BKWFtr0DnaTsq59oW9dwWvFgq6hs0/edit?usp=share_link"",""แพร่!J116"")+IMPORTRANGE("""&amp;"https://docs.google.com/spreadsheets/d/1Wbcosgy-Xa1xXUArJSOenub6EfZHUSzc_bpJFWwQUf0/edit?usp=share_link"",""แม่ฮ่องสอน!J116"")+IMPORTRANGE(""https://docs.google.com/spreadsheets/d/1p7ERhsr0qZeSn-KSOdeHS9r0heI-lHtkcn2OH7hP0jQ/edit?usp=share_link"",""ลำปาง!"&amp;"J116"")+IMPORTRANGE(""https://docs.google.com/spreadsheets/d/1-uUXvimVhiU2U0bMN-xi2te0tS4X7DI2GLPnMjzl8cA/edit?usp=share_link"",""ลำพูน!J116"")+IMPORTRANGE(""https://docs.google.com/spreadsheets/d/17HrOaa5pBUI1onckFfumXB8xlg35qb2uBAFfF1D-Myo/edit?usp=shar"&amp;"e_link"",""สุโขทัย!J116"")+IMPORTRANGE(""https://docs.google.com/spreadsheets/d/1ubs5cl16eYL9gHbdHTJtmtYb9MGzHBs7CAphn8kNCgM/edit?usp=share_link"",""อุตรดิตถ์!J116"")+IMPORTRANGE(""https://docs.google.com/spreadsheets/d/1kII0BjS6CtVrBvI8IrytgPdxDrlyQDyigz"&amp;"MsohRtDMs/edit?usp=share_link"",""อุทัยธานี!J116"")
"),0)</f>
        <v>0</v>
      </c>
      <c r="K116" s="38">
        <f t="shared" ca="1" si="75"/>
        <v>0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xicF4apzSqm0-jIpmueT4kyZtE-Cwn5zskl7GD4loQ/edit?usp=share_link"",""กำแพงเพชร!I118"")+IMPORTRANGE(""https://docs.google.com/spreadsheets/d/1ZNYWeiFoFA1K1U4xKWqRX29MBvEyRHXORjo734Gnq_c/edit?usp=share_li"&amp;"nk"",""เชียงราย!I118"")
+IMPORTRANGE(""https://docs.google.com/spreadsheets/d/1Jgv0Y7YlHDtsiDawwp-uvifEJ8HVaSn0k2aGHG8-hwM/edit?usp=share_link"",""เชียงใหม่!I118"")+IMPORTRANGE(""https://docs.google.com/spreadsheets/d/1JWG2rZePOz9pe-f-ObA-yDr0VoOX2kSb0qIi"&amp;"x2mTUo8/edit?usp=share_link"",""ตาก!I118"")+IMPORTRANGE(""https://docs.google.com/spreadsheets/d/10nSRjK08hx8Y6HgSOQKNw81lyY46Zc7U_Cj72hBMp9U/edit?usp=share_link"",""นครสวรรค์!I118"")+IMPORTRANGE(""https://docs.google.com/spreadsheets/d/1gFVb7qd7amutrIxAA"&amp;"oM7lcy35hllxznovot8lyOfvDo/edit?usp=share_link"",""น่าน!I118"")+IMPORTRANGE(""https://docs.google.com/spreadsheets/d/1K0Aa9s-6EuHE5M0FG1F9aHLXRCOV917xvycTdLdct0w/edit?usp=share_link"",""พะเยา!I118"")+IMPORTRANGE(""https://docs.google.com/spreadsheets/d/1Y"&amp;"9LPKx95PyL5OKy09d-KbKJSuuEZCFdkhYjwC0XQjBA/edit?usp=share_link"",""พิจิตร!I118"")+IMPORTRANGE(""https://docs.google.com/spreadsheets/d/16OMuOwy2eVqZcYWOouQtTpa8X1L23h4660uVHc0C8os/edit?usp=share_link"",""พิษณุโลก!I118"")+IMPORTRANGE(""https://docs.google."&amp;"com/spreadsheets/d/1GfgTldLG6k77HXaMQzaafODklYuucJZQNs_GAPEfZyY/edit?usp=share_link"",""เพชรบูรณ์!I118"")+IMPORTRANGE(""https://docs.google.com/spreadsheets/d/1gvTMYAnm7v1yG1BKWFtr0DnaTsq59oW9dwWvFgq6hs0/edit?usp=share_link"",""แพร่!I118"")+IMPORTRANGE("""&amp;"https://docs.google.com/spreadsheets/d/1Wbcosgy-Xa1xXUArJSOenub6EfZHUSzc_bpJFWwQUf0/edit?usp=share_link"",""แม่ฮ่องสอน!I118"")+IMPORTRANGE(""https://docs.google.com/spreadsheets/d/1p7ERhsr0qZeSn-KSOdeHS9r0heI-lHtkcn2OH7hP0jQ/edit?usp=share_link"",""ลำปาง!"&amp;"I118"")+IMPORTRANGE(""https://docs.google.com/spreadsheets/d/1-uUXvimVhiU2U0bMN-xi2te0tS4X7DI2GLPnMjzl8cA/edit?usp=share_link"",""ลำพูน!I118"")+IMPORTRANGE(""https://docs.google.com/spreadsheets/d/17HrOaa5pBUI1onckFfumXB8xlg35qb2uBAFfF1D-Myo/edit?usp=shar"&amp;"e_link"",""สุโขทัย!I118"")+IMPORTRANGE(""https://docs.google.com/spreadsheets/d/1ubs5cl16eYL9gHbdHTJtmtYb9MGzHBs7CAphn8kNCgM/edit?usp=share_link"",""อุตรดิตถ์!I118"")+IMPORTRANGE(""https://docs.google.com/spreadsheets/d/1kII0BjS6CtVrBvI8IrytgPdxDrlyQDyigz"&amp;"MsohRtDMs/edit?usp=share_link"",""อุทัยธานี!I118"")
"),10)</f>
        <v>10</v>
      </c>
      <c r="J118" s="144">
        <f ca="1">IFERROR(__xludf.DUMMYFUNCTION("IMPORTRANGE(""https://docs.google.com/spreadsheets/d/1KxicF4apzSqm0-jIpmueT4kyZtE-Cwn5zskl7GD4loQ/edit?usp=share_link"",""กำแพงเพชร!J118"")+IMPORTRANGE(""https://docs.google.com/spreadsheets/d/1ZNYWeiFoFA1K1U4xKWqRX29MBvEyRHXORjo734Gnq_c/edit?usp=share_li"&amp;"nk"",""เชียงราย!J118"")
+IMPORTRANGE(""https://docs.google.com/spreadsheets/d/1Jgv0Y7YlHDtsiDawwp-uvifEJ8HVaSn0k2aGHG8-hwM/edit?usp=share_link"",""เชียงใหม่!J118"")+IMPORTRANGE(""https://docs.google.com/spreadsheets/d/1JWG2rZePOz9pe-f-ObA-yDr0VoOX2kSb0qIi"&amp;"x2mTUo8/edit?usp=share_link"",""ตาก!J118"")+IMPORTRANGE(""https://docs.google.com/spreadsheets/d/10nSRjK08hx8Y6HgSOQKNw81lyY46Zc7U_Cj72hBMp9U/edit?usp=share_link"",""นครสวรรค์!J118"")+IMPORTRANGE(""https://docs.google.com/spreadsheets/d/1gFVb7qd7amutrIxAA"&amp;"oM7lcy35hllxznovot8lyOfvDo/edit?usp=share_link"",""น่าน!J118"")+IMPORTRANGE(""https://docs.google.com/spreadsheets/d/1K0Aa9s-6EuHE5M0FG1F9aHLXRCOV917xvycTdLdct0w/edit?usp=share_link"",""พะเยา!J118"")+IMPORTRANGE(""https://docs.google.com/spreadsheets/d/1Y"&amp;"9LPKx95PyL5OKy09d-KbKJSuuEZCFdkhYjwC0XQjBA/edit?usp=share_link"",""พิจิตร!J118"")+IMPORTRANGE(""https://docs.google.com/spreadsheets/d/16OMuOwy2eVqZcYWOouQtTpa8X1L23h4660uVHc0C8os/edit?usp=share_link"",""พิษณุโลก!J118"")+IMPORTRANGE(""https://docs.google."&amp;"com/spreadsheets/d/1GfgTldLG6k77HXaMQzaafODklYuucJZQNs_GAPEfZyY/edit?usp=share_link"",""เพชรบูรณ์!J118"")+IMPORTRANGE(""https://docs.google.com/spreadsheets/d/1gvTMYAnm7v1yG1BKWFtr0DnaTsq59oW9dwWvFgq6hs0/edit?usp=share_link"",""แพร่!J118"")+IMPORTRANGE("""&amp;"https://docs.google.com/spreadsheets/d/1Wbcosgy-Xa1xXUArJSOenub6EfZHUSzc_bpJFWwQUf0/edit?usp=share_link"",""แม่ฮ่องสอน!J118"")+IMPORTRANGE(""https://docs.google.com/spreadsheets/d/1p7ERhsr0qZeSn-KSOdeHS9r0heI-lHtkcn2OH7hP0jQ/edit?usp=share_link"",""ลำปาง!"&amp;"J118"")+IMPORTRANGE(""https://docs.google.com/spreadsheets/d/1-uUXvimVhiU2U0bMN-xi2te0tS4X7DI2GLPnMjzl8cA/edit?usp=share_link"",""ลำพูน!J118"")+IMPORTRANGE(""https://docs.google.com/spreadsheets/d/17HrOaa5pBUI1onckFfumXB8xlg35qb2uBAFfF1D-Myo/edit?usp=shar"&amp;"e_link"",""สุโขทัย!J118"")+IMPORTRANGE(""https://docs.google.com/spreadsheets/d/1ubs5cl16eYL9gHbdHTJtmtYb9MGzHBs7CAphn8kNCgM/edit?usp=share_link"",""อุตรดิตถ์!J118"")+IMPORTRANGE(""https://docs.google.com/spreadsheets/d/1kII0BjS6CtVrBvI8IrytgPdxDrlyQDyigz"&amp;"MsohRtDMs/edit?usp=share_link"",""อุทัยธานี!J118"")
"),6)</f>
        <v>6</v>
      </c>
      <c r="K118" s="145">
        <f ca="1">IF(I118&gt;0,J118*100/I118,0)</f>
        <v>60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2312300</v>
      </c>
      <c r="M119" s="155">
        <f t="shared" ca="1" si="77"/>
        <v>2136550</v>
      </c>
      <c r="N119" s="155">
        <f t="shared" ca="1" si="77"/>
        <v>2136550</v>
      </c>
      <c r="O119" s="155">
        <f t="shared" ref="O119:O127" ca="1" si="78">IF(L119&gt;0,N119*100/L119,0)</f>
        <v>92.399342645850453</v>
      </c>
      <c r="P119" s="155">
        <f t="shared" ref="P119:P127" ca="1" si="79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2312300</v>
      </c>
      <c r="M121" s="45">
        <f t="shared" ca="1" si="81"/>
        <v>2136550</v>
      </c>
      <c r="N121" s="45">
        <f t="shared" ca="1" si="81"/>
        <v>2136550</v>
      </c>
      <c r="O121" s="45">
        <f t="shared" ca="1" si="78"/>
        <v>92.399342645850453</v>
      </c>
      <c r="P121" s="45">
        <f t="shared" ca="1" si="79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xicF4apzSqm0-jIpmueT4kyZtE-Cwn5zskl7GD4loQ/edit?usp=share_link"",""กำแพงเพชร!l124"")+IMPORTRANGE(""https://docs.google.com/spreadsheets/d/1ZNYWeiFoFA1K1U4xKWqRX29MBvEyRHXORjo734Gnq_c/edit?usp=share_li"&amp;"nk"",""เชียงราย!l124"")
+IMPORTRANGE(""https://docs.google.com/spreadsheets/d/1Jgv0Y7YlHDtsiDawwp-uvifEJ8HVaSn0k2aGHG8-hwM/edit?usp=share_link"",""เชียงใหม่!l124"")+IMPORTRANGE(""https://docs.google.com/spreadsheets/d/1JWG2rZePOz9pe-f-ObA-yDr0VoOX2kSb0qIi"&amp;"x2mTUo8/edit?usp=share_link"",""ตาก!l124"")+IMPORTRANGE(""https://docs.google.com/spreadsheets/d/10nSRjK08hx8Y6HgSOQKNw81lyY46Zc7U_Cj72hBMp9U/edit?usp=share_link"",""นครสวรรค์!l124"")+IMPORTRANGE(""https://docs.google.com/spreadsheets/d/1gFVb7qd7amutrIxAA"&amp;"oM7lcy35hllxznovot8lyOfvDo/edit?usp=share_link"",""น่าน!l124"")+IMPORTRANGE(""https://docs.google.com/spreadsheets/d/1K0Aa9s-6EuHE5M0FG1F9aHLXRCOV917xvycTdLdct0w/edit?usp=share_link"",""พะเยา!l124"")+IMPORTRANGE(""https://docs.google.com/spreadsheets/d/1Y"&amp;"9LPKx95PyL5OKy09d-KbKJSuuEZCFdkhYjwC0XQjBA/edit?usp=share_link"",""พิจิตร!l124"")+IMPORTRANGE(""https://docs.google.com/spreadsheets/d/16OMuOwy2eVqZcYWOouQtTpa8X1L23h4660uVHc0C8os/edit?usp=share_link"",""พิษณุโลก!l124"")+IMPORTRANGE(""https://docs.google."&amp;"com/spreadsheets/d/1GfgTldLG6k77HXaMQzaafODklYuucJZQNs_GAPEfZyY/edit?usp=share_link"",""เพชรบูรณ์!l124"")+IMPORTRANGE(""https://docs.google.com/spreadsheets/d/1gvTMYAnm7v1yG1BKWFtr0DnaTsq59oW9dwWvFgq6hs0/edit?usp=share_link"",""แพร่!l124"")+IMPORTRANGE("""&amp;"https://docs.google.com/spreadsheets/d/1Wbcosgy-Xa1xXUArJSOenub6EfZHUSzc_bpJFWwQUf0/edit?usp=share_link"",""แม่ฮ่องสอน!l124"")+IMPORTRANGE(""https://docs.google.com/spreadsheets/d/1p7ERhsr0qZeSn-KSOdeHS9r0heI-lHtkcn2OH7hP0jQ/edit?usp=share_link"",""ลำปาง!"&amp;"l124"")+IMPORTRANGE(""https://docs.google.com/spreadsheets/d/1-uUXvimVhiU2U0bMN-xi2te0tS4X7DI2GLPnMjzl8cA/edit?usp=share_link"",""ลำพูน!l124"")+IMPORTRANGE(""https://docs.google.com/spreadsheets/d/17HrOaa5pBUI1onckFfumXB8xlg35qb2uBAFfF1D-Myo/edit?usp=shar"&amp;"e_link"",""สุโขทัย!l124"")+IMPORTRANGE(""https://docs.google.com/spreadsheets/d/1ubs5cl16eYL9gHbdHTJtmtYb9MGzHBs7CAphn8kNCgM/edit?usp=share_link"",""อุตรดิตถ์!l124"")+IMPORTRANGE(""https://docs.google.com/spreadsheets/d/1kII0BjS6CtVrBvI8IrytgPdxDrlyQDyigz"&amp;"MsohRtDMs/edit?usp=share_link"",""อุทัยธานี!l124"")
"),0)</f>
        <v>0</v>
      </c>
      <c r="M124" s="45">
        <f ca="1">IFERROR(__xludf.DUMMYFUNCTION("IMPORTRANGE(""https://docs.google.com/spreadsheets/d/1KxicF4apzSqm0-jIpmueT4kyZtE-Cwn5zskl7GD4loQ/edit?usp=share_link"",""กำแพงเพชร!m124"")+IMPORTRANGE(""https://docs.google.com/spreadsheets/d/1ZNYWeiFoFA1K1U4xKWqRX29MBvEyRHXORjo734Gnq_c/edit?usp=share_li"&amp;"nk"",""เชียงราย!m124"")
+IMPORTRANGE(""https://docs.google.com/spreadsheets/d/1Jgv0Y7YlHDtsiDawwp-uvifEJ8HVaSn0k2aGHG8-hwM/edit?usp=share_link"",""เชียงใหม่!m124"")+IMPORTRANGE(""https://docs.google.com/spreadsheets/d/1JWG2rZePOz9pe-f-ObA-yDr0VoOX2kSb0qIi"&amp;"x2mTUo8/edit?usp=share_link"",""ตาก!m124"")+IMPORTRANGE(""https://docs.google.com/spreadsheets/d/10nSRjK08hx8Y6HgSOQKNw81lyY46Zc7U_Cj72hBMp9U/edit?usp=share_link"",""นครสวรรค์!m124"")+IMPORTRANGE(""https://docs.google.com/spreadsheets/d/1gFVb7qd7amutrIxAA"&amp;"oM7lcy35hllxznovot8lyOfvDo/edit?usp=share_link"",""น่าน!m124"")+IMPORTRANGE(""https://docs.google.com/spreadsheets/d/1K0Aa9s-6EuHE5M0FG1F9aHLXRCOV917xvycTdLdct0w/edit?usp=share_link"",""พะเยา!m124"")+IMPORTRANGE(""https://docs.google.com/spreadsheets/d/1Y"&amp;"9LPKx95PyL5OKy09d-KbKJSuuEZCFdkhYjwC0XQjBA/edit?usp=share_link"",""พิจิตร!m124"")+IMPORTRANGE(""https://docs.google.com/spreadsheets/d/16OMuOwy2eVqZcYWOouQtTpa8X1L23h4660uVHc0C8os/edit?usp=share_link"",""พิษณุโลก!m124"")+IMPORTRANGE(""https://docs.google."&amp;"com/spreadsheets/d/1GfgTldLG6k77HXaMQzaafODklYuucJZQNs_GAPEfZyY/edit?usp=share_link"",""เพชรบูรณ์!m124"")+IMPORTRANGE(""https://docs.google.com/spreadsheets/d/1gvTMYAnm7v1yG1BKWFtr0DnaTsq59oW9dwWvFgq6hs0/edit?usp=share_link"",""แพร่!m124"")+IMPORTRANGE("""&amp;"https://docs.google.com/spreadsheets/d/1Wbcosgy-Xa1xXUArJSOenub6EfZHUSzc_bpJFWwQUf0/edit?usp=share_link"",""แม่ฮ่องสอน!m124"")+IMPORTRANGE(""https://docs.google.com/spreadsheets/d/1p7ERhsr0qZeSn-KSOdeHS9r0heI-lHtkcn2OH7hP0jQ/edit?usp=share_link"",""ลำปาง!"&amp;"m124"")+IMPORTRANGE(""https://docs.google.com/spreadsheets/d/1-uUXvimVhiU2U0bMN-xi2te0tS4X7DI2GLPnMjzl8cA/edit?usp=share_link"",""ลำพูน!m124"")+IMPORTRANGE(""https://docs.google.com/spreadsheets/d/17HrOaa5pBUI1onckFfumXB8xlg35qb2uBAFfF1D-Myo/edit?usp=shar"&amp;"e_link"",""สุโขทัย!m124"")+IMPORTRANGE(""https://docs.google.com/spreadsheets/d/1ubs5cl16eYL9gHbdHTJtmtYb9MGzHBs7CAphn8kNCgM/edit?usp=share_link"",""อุตรดิตถ์!m124"")+IMPORTRANGE(""https://docs.google.com/spreadsheets/d/1kII0BjS6CtVrBvI8IrytgPdxDrlyQDyigz"&amp;"MsohRtDMs/edit?usp=share_link"",""อุทัยธานี!m124"")
"),0)</f>
        <v>0</v>
      </c>
      <c r="N124" s="45">
        <f ca="1">IFERROR(__xludf.DUMMYFUNCTION("IMPORTRANGE(""https://docs.google.com/spreadsheets/d/1KxicF4apzSqm0-jIpmueT4kyZtE-Cwn5zskl7GD4loQ/edit?usp=share_link"",""กำแพงเพชร!n124"")+IMPORTRANGE(""https://docs.google.com/spreadsheets/d/1ZNYWeiFoFA1K1U4xKWqRX29MBvEyRHXORjo734Gnq_c/edit?usp=share_li"&amp;"nk"",""เชียงราย!n124"")
+IMPORTRANGE(""https://docs.google.com/spreadsheets/d/1Jgv0Y7YlHDtsiDawwp-uvifEJ8HVaSn0k2aGHG8-hwM/edit?usp=share_link"",""เชียงใหม่!n124"")+IMPORTRANGE(""https://docs.google.com/spreadsheets/d/1JWG2rZePOz9pe-f-ObA-yDr0VoOX2kSb0qIi"&amp;"x2mTUo8/edit?usp=share_link"",""ตาก!n124"")+IMPORTRANGE(""https://docs.google.com/spreadsheets/d/10nSRjK08hx8Y6HgSOQKNw81lyY46Zc7U_Cj72hBMp9U/edit?usp=share_link"",""นครสวรรค์!n124"")+IMPORTRANGE(""https://docs.google.com/spreadsheets/d/1gFVb7qd7amutrIxAA"&amp;"oM7lcy35hllxznovot8lyOfvDo/edit?usp=share_link"",""น่าน!n124"")+IMPORTRANGE(""https://docs.google.com/spreadsheets/d/1K0Aa9s-6EuHE5M0FG1F9aHLXRCOV917xvycTdLdct0w/edit?usp=share_link"",""พะเยา!n124"")+IMPORTRANGE(""https://docs.google.com/spreadsheets/d/1Y"&amp;"9LPKx95PyL5OKy09d-KbKJSuuEZCFdkhYjwC0XQjBA/edit?usp=share_link"",""พิจิตร!n124"")+IMPORTRANGE(""https://docs.google.com/spreadsheets/d/16OMuOwy2eVqZcYWOouQtTpa8X1L23h4660uVHc0C8os/edit?usp=share_link"",""พิษณุโลก!n124"")+IMPORTRANGE(""https://docs.google."&amp;"com/spreadsheets/d/1GfgTldLG6k77HXaMQzaafODklYuucJZQNs_GAPEfZyY/edit?usp=share_link"",""เพชรบูรณ์!n124"")+IMPORTRANGE(""https://docs.google.com/spreadsheets/d/1gvTMYAnm7v1yG1BKWFtr0DnaTsq59oW9dwWvFgq6hs0/edit?usp=share_link"",""แพร่!n124"")+IMPORTRANGE("""&amp;"https://docs.google.com/spreadsheets/d/1Wbcosgy-Xa1xXUArJSOenub6EfZHUSzc_bpJFWwQUf0/edit?usp=share_link"",""แม่ฮ่องสอน!n124"")+IMPORTRANGE(""https://docs.google.com/spreadsheets/d/1p7ERhsr0qZeSn-KSOdeHS9r0heI-lHtkcn2OH7hP0jQ/edit?usp=share_link"",""ลำปาง!"&amp;"n124"")+IMPORTRANGE(""https://docs.google.com/spreadsheets/d/1-uUXvimVhiU2U0bMN-xi2te0tS4X7DI2GLPnMjzl8cA/edit?usp=share_link"",""ลำพูน!n124"")+IMPORTRANGE(""https://docs.google.com/spreadsheets/d/17HrOaa5pBUI1onckFfumXB8xlg35qb2uBAFfF1D-Myo/edit?usp=shar"&amp;"e_link"",""สุโขทัย!n124"")+IMPORTRANGE(""https://docs.google.com/spreadsheets/d/1ubs5cl16eYL9gHbdHTJtmtYb9MGzHBs7CAphn8kNCgM/edit?usp=share_link"",""อุตรดิตถ์!n124"")+IMPORTRANGE(""https://docs.google.com/spreadsheets/d/1kII0BjS6CtVrBvI8IrytgPdxDrlyQDyigz"&amp;"MsohRtDMs/edit?usp=share_link"",""อุทัยธานี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2312300</v>
      </c>
      <c r="M125" s="38">
        <f t="shared" ca="1" si="83"/>
        <v>2136550</v>
      </c>
      <c r="N125" s="38">
        <f t="shared" ca="1" si="83"/>
        <v>2136550</v>
      </c>
      <c r="O125" s="38">
        <f t="shared" ca="1" si="78"/>
        <v>92.399342645850453</v>
      </c>
      <c r="P125" s="38">
        <f t="shared" ca="1" si="79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xicF4apzSqm0-jIpmueT4kyZtE-Cwn5zskl7GD4loQ/edit?usp=share_link"",""กำแพงเพชร!l127"")+IMPORTRANGE(""https://docs.google.com/spreadsheets/d/1ZNYWeiFoFA1K1U4xKWqRX29MBvEyRHXORjo734Gnq_c/edit?usp=share_li"&amp;"nk"",""เชียงราย!l127"")
+IMPORTRANGE(""https://docs.google.com/spreadsheets/d/1Jgv0Y7YlHDtsiDawwp-uvifEJ8HVaSn0k2aGHG8-hwM/edit?usp=share_link"",""เชียงใหม่!l127"")+IMPORTRANGE(""https://docs.google.com/spreadsheets/d/1JWG2rZePOz9pe-f-ObA-yDr0VoOX2kSb0qIi"&amp;"x2mTUo8/edit?usp=share_link"",""ตาก!l127"")+IMPORTRANGE(""https://docs.google.com/spreadsheets/d/10nSRjK08hx8Y6HgSOQKNw81lyY46Zc7U_Cj72hBMp9U/edit?usp=share_link"",""นครสวรรค์!l127"")+IMPORTRANGE(""https://docs.google.com/spreadsheets/d/1gFVb7qd7amutrIxAA"&amp;"oM7lcy35hllxznovot8lyOfvDo/edit?usp=share_link"",""น่าน!l127"")+IMPORTRANGE(""https://docs.google.com/spreadsheets/d/1K0Aa9s-6EuHE5M0FG1F9aHLXRCOV917xvycTdLdct0w/edit?usp=share_link"",""พะเยา!l127"")+IMPORTRANGE(""https://docs.google.com/spreadsheets/d/1Y"&amp;"9LPKx95PyL5OKy09d-KbKJSuuEZCFdkhYjwC0XQjBA/edit?usp=share_link"",""พิจิตร!l127"")+IMPORTRANGE(""https://docs.google.com/spreadsheets/d/16OMuOwy2eVqZcYWOouQtTpa8X1L23h4660uVHc0C8os/edit?usp=share_link"",""พิษณุโลก!l127"")+IMPORTRANGE(""https://docs.google."&amp;"com/spreadsheets/d/1GfgTldLG6k77HXaMQzaafODklYuucJZQNs_GAPEfZyY/edit?usp=share_link"",""เพชรบูรณ์!l127"")+IMPORTRANGE(""https://docs.google.com/spreadsheets/d/1gvTMYAnm7v1yG1BKWFtr0DnaTsq59oW9dwWvFgq6hs0/edit?usp=share_link"",""แพร่!l127"")+IMPORTRANGE("""&amp;"https://docs.google.com/spreadsheets/d/1Wbcosgy-Xa1xXUArJSOenub6EfZHUSzc_bpJFWwQUf0/edit?usp=share_link"",""แม่ฮ่องสอน!l127"")+IMPORTRANGE(""https://docs.google.com/spreadsheets/d/1p7ERhsr0qZeSn-KSOdeHS9r0heI-lHtkcn2OH7hP0jQ/edit?usp=share_link"",""ลำปาง!"&amp;"l127"")+IMPORTRANGE(""https://docs.google.com/spreadsheets/d/1-uUXvimVhiU2U0bMN-xi2te0tS4X7DI2GLPnMjzl8cA/edit?usp=share_link"",""ลำพูน!l127"")+IMPORTRANGE(""https://docs.google.com/spreadsheets/d/17HrOaa5pBUI1onckFfumXB8xlg35qb2uBAFfF1D-Myo/edit?usp=shar"&amp;"e_link"",""สุโขทัย!l127"")+IMPORTRANGE(""https://docs.google.com/spreadsheets/d/1ubs5cl16eYL9gHbdHTJtmtYb9MGzHBs7CAphn8kNCgM/edit?usp=share_link"",""อุตรดิตถ์!l127"")+IMPORTRANGE(""https://docs.google.com/spreadsheets/d/1kII0BjS6CtVrBvI8IrytgPdxDrlyQDyigz"&amp;"MsohRtDMs/edit?usp=share_link"",""อุทัยธานี!l127"")
"),2312300)</f>
        <v>2312300</v>
      </c>
      <c r="M127" s="45">
        <f ca="1">IFERROR(__xludf.DUMMYFUNCTION("IMPORTRANGE(""https://docs.google.com/spreadsheets/d/1KxicF4apzSqm0-jIpmueT4kyZtE-Cwn5zskl7GD4loQ/edit?usp=share_link"",""กำแพงเพชร!m127"")+IMPORTRANGE(""https://docs.google.com/spreadsheets/d/1ZNYWeiFoFA1K1U4xKWqRX29MBvEyRHXORjo734Gnq_c/edit?usp=share_li"&amp;"nk"",""เชียงราย!m127"")
+IMPORTRANGE(""https://docs.google.com/spreadsheets/d/1Jgv0Y7YlHDtsiDawwp-uvifEJ8HVaSn0k2aGHG8-hwM/edit?usp=share_link"",""เชียงใหม่!m127"")+IMPORTRANGE(""https://docs.google.com/spreadsheets/d/1JWG2rZePOz9pe-f-ObA-yDr0VoOX2kSb0qIi"&amp;"x2mTUo8/edit?usp=share_link"",""ตาก!m127"")+IMPORTRANGE(""https://docs.google.com/spreadsheets/d/10nSRjK08hx8Y6HgSOQKNw81lyY46Zc7U_Cj72hBMp9U/edit?usp=share_link"",""นครสวรรค์!m127"")+IMPORTRANGE(""https://docs.google.com/spreadsheets/d/1gFVb7qd7amutrIxAA"&amp;"oM7lcy35hllxznovot8lyOfvDo/edit?usp=share_link"",""น่าน!m127"")+IMPORTRANGE(""https://docs.google.com/spreadsheets/d/1K0Aa9s-6EuHE5M0FG1F9aHLXRCOV917xvycTdLdct0w/edit?usp=share_link"",""พะเยา!m127"")+IMPORTRANGE(""https://docs.google.com/spreadsheets/d/1Y"&amp;"9LPKx95PyL5OKy09d-KbKJSuuEZCFdkhYjwC0XQjBA/edit?usp=share_link"",""พิจิตร!m127"")+IMPORTRANGE(""https://docs.google.com/spreadsheets/d/16OMuOwy2eVqZcYWOouQtTpa8X1L23h4660uVHc0C8os/edit?usp=share_link"",""พิษณุโลก!m127"")+IMPORTRANGE(""https://docs.google."&amp;"com/spreadsheets/d/1GfgTldLG6k77HXaMQzaafODklYuucJZQNs_GAPEfZyY/edit?usp=share_link"",""เพชรบูรณ์!m127"")+IMPORTRANGE(""https://docs.google.com/spreadsheets/d/1gvTMYAnm7v1yG1BKWFtr0DnaTsq59oW9dwWvFgq6hs0/edit?usp=share_link"",""แพร่!m127"")+IMPORTRANGE("""&amp;"https://docs.google.com/spreadsheets/d/1Wbcosgy-Xa1xXUArJSOenub6EfZHUSzc_bpJFWwQUf0/edit?usp=share_link"",""แม่ฮ่องสอน!m127"")+IMPORTRANGE(""https://docs.google.com/spreadsheets/d/1p7ERhsr0qZeSn-KSOdeHS9r0heI-lHtkcn2OH7hP0jQ/edit?usp=share_link"",""ลำปาง!"&amp;"m127"")+IMPORTRANGE(""https://docs.google.com/spreadsheets/d/1-uUXvimVhiU2U0bMN-xi2te0tS4X7DI2GLPnMjzl8cA/edit?usp=share_link"",""ลำพูน!m127"")+IMPORTRANGE(""https://docs.google.com/spreadsheets/d/17HrOaa5pBUI1onckFfumXB8xlg35qb2uBAFfF1D-Myo/edit?usp=shar"&amp;"e_link"",""สุโขทัย!m127"")+IMPORTRANGE(""https://docs.google.com/spreadsheets/d/1ubs5cl16eYL9gHbdHTJtmtYb9MGzHBs7CAphn8kNCgM/edit?usp=share_link"",""อุตรดิตถ์!m127"")+IMPORTRANGE(""https://docs.google.com/spreadsheets/d/1kII0BjS6CtVrBvI8IrytgPdxDrlyQDyigz"&amp;"MsohRtDMs/edit?usp=share_link"",""อุทัยธานี!m127"")
"),2136550)</f>
        <v>2136550</v>
      </c>
      <c r="N127" s="45">
        <f ca="1">IFERROR(__xludf.DUMMYFUNCTION("IMPORTRANGE(""https://docs.google.com/spreadsheets/d/1KxicF4apzSqm0-jIpmueT4kyZtE-Cwn5zskl7GD4loQ/edit?usp=share_link"",""กำแพงเพชร!n127"")+IMPORTRANGE(""https://docs.google.com/spreadsheets/d/1ZNYWeiFoFA1K1U4xKWqRX29MBvEyRHXORjo734Gnq_c/edit?usp=share_li"&amp;"nk"",""เชียงราย!n127"")
+IMPORTRANGE(""https://docs.google.com/spreadsheets/d/1Jgv0Y7YlHDtsiDawwp-uvifEJ8HVaSn0k2aGHG8-hwM/edit?usp=share_link"",""เชียงใหม่!n127"")+IMPORTRANGE(""https://docs.google.com/spreadsheets/d/1JWG2rZePOz9pe-f-ObA-yDr0VoOX2kSb0qIi"&amp;"x2mTUo8/edit?usp=share_link"",""ตาก!n127"")+IMPORTRANGE(""https://docs.google.com/spreadsheets/d/10nSRjK08hx8Y6HgSOQKNw81lyY46Zc7U_Cj72hBMp9U/edit?usp=share_link"",""นครสวรรค์!n127"")+IMPORTRANGE(""https://docs.google.com/spreadsheets/d/1gFVb7qd7amutrIxAA"&amp;"oM7lcy35hllxznovot8lyOfvDo/edit?usp=share_link"",""น่าน!n127"")+IMPORTRANGE(""https://docs.google.com/spreadsheets/d/1K0Aa9s-6EuHE5M0FG1F9aHLXRCOV917xvycTdLdct0w/edit?usp=share_link"",""พะเยา!n127"")+IMPORTRANGE(""https://docs.google.com/spreadsheets/d/1Y"&amp;"9LPKx95PyL5OKy09d-KbKJSuuEZCFdkhYjwC0XQjBA/edit?usp=share_link"",""พิจิตร!n127"")+IMPORTRANGE(""https://docs.google.com/spreadsheets/d/16OMuOwy2eVqZcYWOouQtTpa8X1L23h4660uVHc0C8os/edit?usp=share_link"",""พิษณุโลก!n127"")+IMPORTRANGE(""https://docs.google."&amp;"com/spreadsheets/d/1GfgTldLG6k77HXaMQzaafODklYuucJZQNs_GAPEfZyY/edit?usp=share_link"",""เพชรบูรณ์!n127"")+IMPORTRANGE(""https://docs.google.com/spreadsheets/d/1gvTMYAnm7v1yG1BKWFtr0DnaTsq59oW9dwWvFgq6hs0/edit?usp=share_link"",""แพร่!n127"")+IMPORTRANGE("""&amp;"https://docs.google.com/spreadsheets/d/1Wbcosgy-Xa1xXUArJSOenub6EfZHUSzc_bpJFWwQUf0/edit?usp=share_link"",""แม่ฮ่องสอน!n127"")+IMPORTRANGE(""https://docs.google.com/spreadsheets/d/1p7ERhsr0qZeSn-KSOdeHS9r0heI-lHtkcn2OH7hP0jQ/edit?usp=share_link"",""ลำปาง!"&amp;"n127"")+IMPORTRANGE(""https://docs.google.com/spreadsheets/d/1-uUXvimVhiU2U0bMN-xi2te0tS4X7DI2GLPnMjzl8cA/edit?usp=share_link"",""ลำพูน!n127"")+IMPORTRANGE(""https://docs.google.com/spreadsheets/d/17HrOaa5pBUI1onckFfumXB8xlg35qb2uBAFfF1D-Myo/edit?usp=shar"&amp;"e_link"",""สุโขทัย!n127"")+IMPORTRANGE(""https://docs.google.com/spreadsheets/d/1ubs5cl16eYL9gHbdHTJtmtYb9MGzHBs7CAphn8kNCgM/edit?usp=share_link"",""อุตรดิตถ์!n127"")+IMPORTRANGE(""https://docs.google.com/spreadsheets/d/1kII0BjS6CtVrBvI8IrytgPdxDrlyQDyigz"&amp;"MsohRtDMs/edit?usp=share_link"",""อุทัยธานี!n127"")
"),2136550)</f>
        <v>2136550</v>
      </c>
      <c r="O127" s="45">
        <f t="shared" ca="1" si="78"/>
        <v>92.399342645850453</v>
      </c>
      <c r="P127" s="45">
        <f t="shared" ca="1" si="79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4">I146</f>
        <v>12</v>
      </c>
      <c r="J130" s="144">
        <f t="shared" ca="1" si="84"/>
        <v>10</v>
      </c>
      <c r="K130" s="145">
        <f t="shared" ref="K130:K131" ca="1" si="85">IF(I130&gt;0,J130*100/I130,0)</f>
        <v>83.333333333333329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120</v>
      </c>
      <c r="J131" s="144">
        <f t="shared" ca="1" si="86"/>
        <v>20</v>
      </c>
      <c r="K131" s="145">
        <f t="shared" ca="1" si="85"/>
        <v>16.666666666666668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2170260</v>
      </c>
      <c r="M132" s="155">
        <f t="shared" ca="1" si="87"/>
        <v>1999800</v>
      </c>
      <c r="N132" s="155">
        <f t="shared" ca="1" si="87"/>
        <v>1515510.5</v>
      </c>
      <c r="O132" s="155">
        <f t="shared" ref="O132:O140" ca="1" si="88">IF(L132&gt;0,N132*100/L132,0)</f>
        <v>69.830826721222337</v>
      </c>
      <c r="P132" s="155">
        <f t="shared" ref="P132:P140" ca="1" si="89">IF(M132&gt;0,N132*100/M132,0)</f>
        <v>75.783103310331029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2170260</v>
      </c>
      <c r="M134" s="45">
        <f t="shared" ca="1" si="91"/>
        <v>1999800</v>
      </c>
      <c r="N134" s="45">
        <f t="shared" ca="1" si="91"/>
        <v>1515510.5</v>
      </c>
      <c r="O134" s="45">
        <f t="shared" ca="1" si="88"/>
        <v>69.830826721222337</v>
      </c>
      <c r="P134" s="45">
        <f t="shared" ca="1" si="89"/>
        <v>75.783103310331029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934260</v>
      </c>
      <c r="M135" s="38">
        <f t="shared" ca="1" si="92"/>
        <v>789300</v>
      </c>
      <c r="N135" s="38">
        <f t="shared" ca="1" si="92"/>
        <v>311010.5</v>
      </c>
      <c r="O135" s="38">
        <f t="shared" ca="1" si="88"/>
        <v>33.289501851732922</v>
      </c>
      <c r="P135" s="38">
        <f t="shared" ca="1" si="89"/>
        <v>39.403332066387939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xicF4apzSqm0-jIpmueT4kyZtE-Cwn5zskl7GD4loQ/edit?usp=share_link"",""กำแพงเพชร!l137"")+IMPORTRANGE(""https://docs.google.com/spreadsheets/d/1ZNYWeiFoFA1K1U4xKWqRX29MBvEyRHXORjo734Gnq_c/edit?usp=share_li"&amp;"nk"",""เชียงราย!l137"")
+IMPORTRANGE(""https://docs.google.com/spreadsheets/d/1Jgv0Y7YlHDtsiDawwp-uvifEJ8HVaSn0k2aGHG8-hwM/edit?usp=share_link"",""เชียงใหม่!l137"")+IMPORTRANGE(""https://docs.google.com/spreadsheets/d/1JWG2rZePOz9pe-f-ObA-yDr0VoOX2kSb0qIi"&amp;"x2mTUo8/edit?usp=share_link"",""ตาก!l137"")+IMPORTRANGE(""https://docs.google.com/spreadsheets/d/10nSRjK08hx8Y6HgSOQKNw81lyY46Zc7U_Cj72hBMp9U/edit?usp=share_link"",""นครสวรรค์!l137"")+IMPORTRANGE(""https://docs.google.com/spreadsheets/d/1gFVb7qd7amutrIxAA"&amp;"oM7lcy35hllxznovot8lyOfvDo/edit?usp=share_link"",""น่าน!l137"")+IMPORTRANGE(""https://docs.google.com/spreadsheets/d/1K0Aa9s-6EuHE5M0FG1F9aHLXRCOV917xvycTdLdct0w/edit?usp=share_link"",""พะเยา!l137"")+IMPORTRANGE(""https://docs.google.com/spreadsheets/d/1Y"&amp;"9LPKx95PyL5OKy09d-KbKJSuuEZCFdkhYjwC0XQjBA/edit?usp=share_link"",""พิจิตร!l137"")+IMPORTRANGE(""https://docs.google.com/spreadsheets/d/16OMuOwy2eVqZcYWOouQtTpa8X1L23h4660uVHc0C8os/edit?usp=share_link"",""พิษณุโลก!l137"")+IMPORTRANGE(""https://docs.google."&amp;"com/spreadsheets/d/1GfgTldLG6k77HXaMQzaafODklYuucJZQNs_GAPEfZyY/edit?usp=share_link"",""เพชรบูรณ์!l137"")+IMPORTRANGE(""https://docs.google.com/spreadsheets/d/1gvTMYAnm7v1yG1BKWFtr0DnaTsq59oW9dwWvFgq6hs0/edit?usp=share_link"",""แพร่!l137"")+IMPORTRANGE("""&amp;"https://docs.google.com/spreadsheets/d/1Wbcosgy-Xa1xXUArJSOenub6EfZHUSzc_bpJFWwQUf0/edit?usp=share_link"",""แม่ฮ่องสอน!l137"")+IMPORTRANGE(""https://docs.google.com/spreadsheets/d/1p7ERhsr0qZeSn-KSOdeHS9r0heI-lHtkcn2OH7hP0jQ/edit?usp=share_link"",""ลำปาง!"&amp;"l137"")+IMPORTRANGE(""https://docs.google.com/spreadsheets/d/1-uUXvimVhiU2U0bMN-xi2te0tS4X7DI2GLPnMjzl8cA/edit?usp=share_link"",""ลำพูน!l137"")+IMPORTRANGE(""https://docs.google.com/spreadsheets/d/17HrOaa5pBUI1onckFfumXB8xlg35qb2uBAFfF1D-Myo/edit?usp=shar"&amp;"e_link"",""สุโขทัย!l137"")+IMPORTRANGE(""https://docs.google.com/spreadsheets/d/1ubs5cl16eYL9gHbdHTJtmtYb9MGzHBs7CAphn8kNCgM/edit?usp=share_link"",""อุตรดิตถ์!l137"")+IMPORTRANGE(""https://docs.google.com/spreadsheets/d/1kII0BjS6CtVrBvI8IrytgPdxDrlyQDyigz"&amp;"MsohRtDMs/edit?usp=share_link"",""อุทัยธานี!l137"")
"),934260)</f>
        <v>934260</v>
      </c>
      <c r="M137" s="45">
        <f ca="1">IFERROR(__xludf.DUMMYFUNCTION("IMPORTRANGE(""https://docs.google.com/spreadsheets/d/1KxicF4apzSqm0-jIpmueT4kyZtE-Cwn5zskl7GD4loQ/edit?usp=share_link"",""กำแพงเพชร!m137"")+IMPORTRANGE(""https://docs.google.com/spreadsheets/d/1ZNYWeiFoFA1K1U4xKWqRX29MBvEyRHXORjo734Gnq_c/edit?usp=share_li"&amp;"nk"",""เชียงราย!m137"")
+IMPORTRANGE(""https://docs.google.com/spreadsheets/d/1Jgv0Y7YlHDtsiDawwp-uvifEJ8HVaSn0k2aGHG8-hwM/edit?usp=share_link"",""เชียงใหม่!m137"")+IMPORTRANGE(""https://docs.google.com/spreadsheets/d/1JWG2rZePOz9pe-f-ObA-yDr0VoOX2kSb0qIi"&amp;"x2mTUo8/edit?usp=share_link"",""ตาก!m137"")+IMPORTRANGE(""https://docs.google.com/spreadsheets/d/10nSRjK08hx8Y6HgSOQKNw81lyY46Zc7U_Cj72hBMp9U/edit?usp=share_link"",""นครสวรรค์!m137"")+IMPORTRANGE(""https://docs.google.com/spreadsheets/d/1gFVb7qd7amutrIxAA"&amp;"oM7lcy35hllxznovot8lyOfvDo/edit?usp=share_link"",""น่าน!m137"")+IMPORTRANGE(""https://docs.google.com/spreadsheets/d/1K0Aa9s-6EuHE5M0FG1F9aHLXRCOV917xvycTdLdct0w/edit?usp=share_link"",""พะเยา!m137"")+IMPORTRANGE(""https://docs.google.com/spreadsheets/d/1Y"&amp;"9LPKx95PyL5OKy09d-KbKJSuuEZCFdkhYjwC0XQjBA/edit?usp=share_link"",""พิจิตร!m137"")+IMPORTRANGE(""https://docs.google.com/spreadsheets/d/16OMuOwy2eVqZcYWOouQtTpa8X1L23h4660uVHc0C8os/edit?usp=share_link"",""พิษณุโลก!m137"")+IMPORTRANGE(""https://docs.google."&amp;"com/spreadsheets/d/1GfgTldLG6k77HXaMQzaafODklYuucJZQNs_GAPEfZyY/edit?usp=share_link"",""เพชรบูรณ์!m137"")+IMPORTRANGE(""https://docs.google.com/spreadsheets/d/1gvTMYAnm7v1yG1BKWFtr0DnaTsq59oW9dwWvFgq6hs0/edit?usp=share_link"",""แพร่!m137"")+IMPORTRANGE("""&amp;"https://docs.google.com/spreadsheets/d/1Wbcosgy-Xa1xXUArJSOenub6EfZHUSzc_bpJFWwQUf0/edit?usp=share_link"",""แม่ฮ่องสอน!m137"")+IMPORTRANGE(""https://docs.google.com/spreadsheets/d/1p7ERhsr0qZeSn-KSOdeHS9r0heI-lHtkcn2OH7hP0jQ/edit?usp=share_link"",""ลำปาง!"&amp;"m137"")+IMPORTRANGE(""https://docs.google.com/spreadsheets/d/1-uUXvimVhiU2U0bMN-xi2te0tS4X7DI2GLPnMjzl8cA/edit?usp=share_link"",""ลำพูน!m137"")+IMPORTRANGE(""https://docs.google.com/spreadsheets/d/17HrOaa5pBUI1onckFfumXB8xlg35qb2uBAFfF1D-Myo/edit?usp=shar"&amp;"e_link"",""สุโขทัย!m137"")+IMPORTRANGE(""https://docs.google.com/spreadsheets/d/1ubs5cl16eYL9gHbdHTJtmtYb9MGzHBs7CAphn8kNCgM/edit?usp=share_link"",""อุตรดิตถ์!m137"")+IMPORTRANGE(""https://docs.google.com/spreadsheets/d/1kII0BjS6CtVrBvI8IrytgPdxDrlyQDyigz"&amp;"MsohRtDMs/edit?usp=share_link"",""อุทัยธานี!m137"")
"),789300)</f>
        <v>789300</v>
      </c>
      <c r="N137" s="45">
        <f ca="1">IFERROR(__xludf.DUMMYFUNCTION("IMPORTRANGE(""https://docs.google.com/spreadsheets/d/1KxicF4apzSqm0-jIpmueT4kyZtE-Cwn5zskl7GD4loQ/edit?usp=share_link"",""กำแพงเพชร!n137"")+IMPORTRANGE(""https://docs.google.com/spreadsheets/d/1ZNYWeiFoFA1K1U4xKWqRX29MBvEyRHXORjo734Gnq_c/edit?usp=share_li"&amp;"nk"",""เชียงราย!n137"")
+IMPORTRANGE(""https://docs.google.com/spreadsheets/d/1Jgv0Y7YlHDtsiDawwp-uvifEJ8HVaSn0k2aGHG8-hwM/edit?usp=share_link"",""เชียงใหม่!n137"")+IMPORTRANGE(""https://docs.google.com/spreadsheets/d/1JWG2rZePOz9pe-f-ObA-yDr0VoOX2kSb0qIi"&amp;"x2mTUo8/edit?usp=share_link"",""ตาก!n137"")+IMPORTRANGE(""https://docs.google.com/spreadsheets/d/10nSRjK08hx8Y6HgSOQKNw81lyY46Zc7U_Cj72hBMp9U/edit?usp=share_link"",""นครสวรรค์!n137"")+IMPORTRANGE(""https://docs.google.com/spreadsheets/d/1gFVb7qd7amutrIxAA"&amp;"oM7lcy35hllxznovot8lyOfvDo/edit?usp=share_link"",""น่าน!n137"")+IMPORTRANGE(""https://docs.google.com/spreadsheets/d/1K0Aa9s-6EuHE5M0FG1F9aHLXRCOV917xvycTdLdct0w/edit?usp=share_link"",""พะเยา!n137"")+IMPORTRANGE(""https://docs.google.com/spreadsheets/d/1Y"&amp;"9LPKx95PyL5OKy09d-KbKJSuuEZCFdkhYjwC0XQjBA/edit?usp=share_link"",""พิจิตร!n137"")+IMPORTRANGE(""https://docs.google.com/spreadsheets/d/16OMuOwy2eVqZcYWOouQtTpa8X1L23h4660uVHc0C8os/edit?usp=share_link"",""พิษณุโลก!n137"")+IMPORTRANGE(""https://docs.google."&amp;"com/spreadsheets/d/1GfgTldLG6k77HXaMQzaafODklYuucJZQNs_GAPEfZyY/edit?usp=share_link"",""เพชรบูรณ์!n137"")+IMPORTRANGE(""https://docs.google.com/spreadsheets/d/1gvTMYAnm7v1yG1BKWFtr0DnaTsq59oW9dwWvFgq6hs0/edit?usp=share_link"",""แพร่!n137"")+IMPORTRANGE("""&amp;"https://docs.google.com/spreadsheets/d/1Wbcosgy-Xa1xXUArJSOenub6EfZHUSzc_bpJFWwQUf0/edit?usp=share_link"",""แม่ฮ่องสอน!n137"")+IMPORTRANGE(""https://docs.google.com/spreadsheets/d/1p7ERhsr0qZeSn-KSOdeHS9r0heI-lHtkcn2OH7hP0jQ/edit?usp=share_link"",""ลำปาง!"&amp;"n137"")+IMPORTRANGE(""https://docs.google.com/spreadsheets/d/1-uUXvimVhiU2U0bMN-xi2te0tS4X7DI2GLPnMjzl8cA/edit?usp=share_link"",""ลำพูน!n137"")+IMPORTRANGE(""https://docs.google.com/spreadsheets/d/17HrOaa5pBUI1onckFfumXB8xlg35qb2uBAFfF1D-Myo/edit?usp=shar"&amp;"e_link"",""สุโขทัย!n137"")+IMPORTRANGE(""https://docs.google.com/spreadsheets/d/1ubs5cl16eYL9gHbdHTJtmtYb9MGzHBs7CAphn8kNCgM/edit?usp=share_link"",""อุตรดิตถ์!n137"")+IMPORTRANGE(""https://docs.google.com/spreadsheets/d/1kII0BjS6CtVrBvI8IrytgPdxDrlyQDyigz"&amp;"MsohRtDMs/edit?usp=share_link"",""อุทัยธานี!n137"")
"),311010.5)</f>
        <v>311010.5</v>
      </c>
      <c r="O137" s="45">
        <f t="shared" ca="1" si="88"/>
        <v>33.289501851732922</v>
      </c>
      <c r="P137" s="45">
        <f t="shared" ca="1" si="89"/>
        <v>39.403332066387939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1236000</v>
      </c>
      <c r="M138" s="38">
        <f t="shared" ca="1" si="93"/>
        <v>1210500</v>
      </c>
      <c r="N138" s="38">
        <f t="shared" ca="1" si="93"/>
        <v>1204500</v>
      </c>
      <c r="O138" s="38">
        <f t="shared" ca="1" si="88"/>
        <v>97.451456310679617</v>
      </c>
      <c r="P138" s="38">
        <f t="shared" ca="1" si="89"/>
        <v>99.504337050805447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xicF4apzSqm0-jIpmueT4kyZtE-Cwn5zskl7GD4loQ/edit?usp=share_link"",""กำแพงเพชร!l140"")+IMPORTRANGE(""https://docs.google.com/spreadsheets/d/1ZNYWeiFoFA1K1U4xKWqRX29MBvEyRHXORjo734Gnq_c/edit?usp=share_li"&amp;"nk"",""เชียงราย!l140"")
+IMPORTRANGE(""https://docs.google.com/spreadsheets/d/1Jgv0Y7YlHDtsiDawwp-uvifEJ8HVaSn0k2aGHG8-hwM/edit?usp=share_link"",""เชียงใหม่!l140"")+IMPORTRANGE(""https://docs.google.com/spreadsheets/d/1JWG2rZePOz9pe-f-ObA-yDr0VoOX2kSb0qIi"&amp;"x2mTUo8/edit?usp=share_link"",""ตาก!l140"")+IMPORTRANGE(""https://docs.google.com/spreadsheets/d/10nSRjK08hx8Y6HgSOQKNw81lyY46Zc7U_Cj72hBMp9U/edit?usp=share_link"",""นครสวรรค์!l140"")+IMPORTRANGE(""https://docs.google.com/spreadsheets/d/1gFVb7qd7amutrIxAA"&amp;"oM7lcy35hllxznovot8lyOfvDo/edit?usp=share_link"",""น่าน!l140"")+IMPORTRANGE(""https://docs.google.com/spreadsheets/d/1K0Aa9s-6EuHE5M0FG1F9aHLXRCOV917xvycTdLdct0w/edit?usp=share_link"",""พะเยา!l140"")+IMPORTRANGE(""https://docs.google.com/spreadsheets/d/1Y"&amp;"9LPKx95PyL5OKy09d-KbKJSuuEZCFdkhYjwC0XQjBA/edit?usp=share_link"",""พิจิตร!l140"")+IMPORTRANGE(""https://docs.google.com/spreadsheets/d/16OMuOwy2eVqZcYWOouQtTpa8X1L23h4660uVHc0C8os/edit?usp=share_link"",""พิษณุโลก!l140"")+IMPORTRANGE(""https://docs.google."&amp;"com/spreadsheets/d/1GfgTldLG6k77HXaMQzaafODklYuucJZQNs_GAPEfZyY/edit?usp=share_link"",""เพชรบูรณ์!l140"")+IMPORTRANGE(""https://docs.google.com/spreadsheets/d/1gvTMYAnm7v1yG1BKWFtr0DnaTsq59oW9dwWvFgq6hs0/edit?usp=share_link"",""แพร่!l140"")+IMPORTRANGE("""&amp;"https://docs.google.com/spreadsheets/d/1Wbcosgy-Xa1xXUArJSOenub6EfZHUSzc_bpJFWwQUf0/edit?usp=share_link"",""แม่ฮ่องสอน!l140"")+IMPORTRANGE(""https://docs.google.com/spreadsheets/d/1p7ERhsr0qZeSn-KSOdeHS9r0heI-lHtkcn2OH7hP0jQ/edit?usp=share_link"",""ลำปาง!"&amp;"l140"")+IMPORTRANGE(""https://docs.google.com/spreadsheets/d/1-uUXvimVhiU2U0bMN-xi2te0tS4X7DI2GLPnMjzl8cA/edit?usp=share_link"",""ลำพูน!l140"")+IMPORTRANGE(""https://docs.google.com/spreadsheets/d/17HrOaa5pBUI1onckFfumXB8xlg35qb2uBAFfF1D-Myo/edit?usp=shar"&amp;"e_link"",""สุโขทัย!l140"")+IMPORTRANGE(""https://docs.google.com/spreadsheets/d/1ubs5cl16eYL9gHbdHTJtmtYb9MGzHBs7CAphn8kNCgM/edit?usp=share_link"",""อุตรดิตถ์!l140"")+IMPORTRANGE(""https://docs.google.com/spreadsheets/d/1kII0BjS6CtVrBvI8IrytgPdxDrlyQDyigz"&amp;"MsohRtDMs/edit?usp=share_link"",""อุทัยธานี!l140"")
"),1236000)</f>
        <v>1236000</v>
      </c>
      <c r="M140" s="45">
        <f ca="1">IFERROR(__xludf.DUMMYFUNCTION("IMPORTRANGE(""https://docs.google.com/spreadsheets/d/1KxicF4apzSqm0-jIpmueT4kyZtE-Cwn5zskl7GD4loQ/edit?usp=share_link"",""กำแพงเพชร!m140"")+IMPORTRANGE(""https://docs.google.com/spreadsheets/d/1ZNYWeiFoFA1K1U4xKWqRX29MBvEyRHXORjo734Gnq_c/edit?usp=share_li"&amp;"nk"",""เชียงราย!m140"")
+IMPORTRANGE(""https://docs.google.com/spreadsheets/d/1Jgv0Y7YlHDtsiDawwp-uvifEJ8HVaSn0k2aGHG8-hwM/edit?usp=share_link"",""เชียงใหม่!m140"")+IMPORTRANGE(""https://docs.google.com/spreadsheets/d/1JWG2rZePOz9pe-f-ObA-yDr0VoOX2kSb0qIi"&amp;"x2mTUo8/edit?usp=share_link"",""ตาก!m140"")+IMPORTRANGE(""https://docs.google.com/spreadsheets/d/10nSRjK08hx8Y6HgSOQKNw81lyY46Zc7U_Cj72hBMp9U/edit?usp=share_link"",""นครสวรรค์!m140"")+IMPORTRANGE(""https://docs.google.com/spreadsheets/d/1gFVb7qd7amutrIxAA"&amp;"oM7lcy35hllxznovot8lyOfvDo/edit?usp=share_link"",""น่าน!m140"")+IMPORTRANGE(""https://docs.google.com/spreadsheets/d/1K0Aa9s-6EuHE5M0FG1F9aHLXRCOV917xvycTdLdct0w/edit?usp=share_link"",""พะเยา!m140"")+IMPORTRANGE(""https://docs.google.com/spreadsheets/d/1Y"&amp;"9LPKx95PyL5OKy09d-KbKJSuuEZCFdkhYjwC0XQjBA/edit?usp=share_link"",""พิจิตร!m140"")+IMPORTRANGE(""https://docs.google.com/spreadsheets/d/16OMuOwy2eVqZcYWOouQtTpa8X1L23h4660uVHc0C8os/edit?usp=share_link"",""พิษณุโลก!m140"")+IMPORTRANGE(""https://docs.google."&amp;"com/spreadsheets/d/1GfgTldLG6k77HXaMQzaafODklYuucJZQNs_GAPEfZyY/edit?usp=share_link"",""เพชรบูรณ์!m140"")+IMPORTRANGE(""https://docs.google.com/spreadsheets/d/1gvTMYAnm7v1yG1BKWFtr0DnaTsq59oW9dwWvFgq6hs0/edit?usp=share_link"",""แพร่!m140"")+IMPORTRANGE("""&amp;"https://docs.google.com/spreadsheets/d/1Wbcosgy-Xa1xXUArJSOenub6EfZHUSzc_bpJFWwQUf0/edit?usp=share_link"",""แม่ฮ่องสอน!m140"")+IMPORTRANGE(""https://docs.google.com/spreadsheets/d/1p7ERhsr0qZeSn-KSOdeHS9r0heI-lHtkcn2OH7hP0jQ/edit?usp=share_link"",""ลำปาง!"&amp;"m140"")+IMPORTRANGE(""https://docs.google.com/spreadsheets/d/1-uUXvimVhiU2U0bMN-xi2te0tS4X7DI2GLPnMjzl8cA/edit?usp=share_link"",""ลำพูน!m140"")+IMPORTRANGE(""https://docs.google.com/spreadsheets/d/17HrOaa5pBUI1onckFfumXB8xlg35qb2uBAFfF1D-Myo/edit?usp=shar"&amp;"e_link"",""สุโขทัย!m140"")+IMPORTRANGE(""https://docs.google.com/spreadsheets/d/1ubs5cl16eYL9gHbdHTJtmtYb9MGzHBs7CAphn8kNCgM/edit?usp=share_link"",""อุตรดิตถ์!m140"")+IMPORTRANGE(""https://docs.google.com/spreadsheets/d/1kII0BjS6CtVrBvI8IrytgPdxDrlyQDyigz"&amp;"MsohRtDMs/edit?usp=share_link"",""อุทัยธานี!m140"")
"),1210500)</f>
        <v>1210500</v>
      </c>
      <c r="N140" s="45">
        <f ca="1">IFERROR(__xludf.DUMMYFUNCTION("IMPORTRANGE(""https://docs.google.com/spreadsheets/d/1KxicF4apzSqm0-jIpmueT4kyZtE-Cwn5zskl7GD4loQ/edit?usp=share_link"",""กำแพงเพชร!n140"")+IMPORTRANGE(""https://docs.google.com/spreadsheets/d/1ZNYWeiFoFA1K1U4xKWqRX29MBvEyRHXORjo734Gnq_c/edit?usp=share_li"&amp;"nk"",""เชียงราย!n140"")
+IMPORTRANGE(""https://docs.google.com/spreadsheets/d/1Jgv0Y7YlHDtsiDawwp-uvifEJ8HVaSn0k2aGHG8-hwM/edit?usp=share_link"",""เชียงใหม่!n140"")+IMPORTRANGE(""https://docs.google.com/spreadsheets/d/1JWG2rZePOz9pe-f-ObA-yDr0VoOX2kSb0qIi"&amp;"x2mTUo8/edit?usp=share_link"",""ตาก!n140"")+IMPORTRANGE(""https://docs.google.com/spreadsheets/d/10nSRjK08hx8Y6HgSOQKNw81lyY46Zc7U_Cj72hBMp9U/edit?usp=share_link"",""นครสวรรค์!n140"")+IMPORTRANGE(""https://docs.google.com/spreadsheets/d/1gFVb7qd7amutrIxAA"&amp;"oM7lcy35hllxznovot8lyOfvDo/edit?usp=share_link"",""น่าน!n140"")+IMPORTRANGE(""https://docs.google.com/spreadsheets/d/1K0Aa9s-6EuHE5M0FG1F9aHLXRCOV917xvycTdLdct0w/edit?usp=share_link"",""พะเยา!n140"")+IMPORTRANGE(""https://docs.google.com/spreadsheets/d/1Y"&amp;"9LPKx95PyL5OKy09d-KbKJSuuEZCFdkhYjwC0XQjBA/edit?usp=share_link"",""พิจิตร!n140"")+IMPORTRANGE(""https://docs.google.com/spreadsheets/d/16OMuOwy2eVqZcYWOouQtTpa8X1L23h4660uVHc0C8os/edit?usp=share_link"",""พิษณุโลก!n140"")+IMPORTRANGE(""https://docs.google."&amp;"com/spreadsheets/d/1GfgTldLG6k77HXaMQzaafODklYuucJZQNs_GAPEfZyY/edit?usp=share_link"",""เพชรบูรณ์!n140"")+IMPORTRANGE(""https://docs.google.com/spreadsheets/d/1gvTMYAnm7v1yG1BKWFtr0DnaTsq59oW9dwWvFgq6hs0/edit?usp=share_link"",""แพร่!n140"")+IMPORTRANGE("""&amp;"https://docs.google.com/spreadsheets/d/1Wbcosgy-Xa1xXUArJSOenub6EfZHUSzc_bpJFWwQUf0/edit?usp=share_link"",""แม่ฮ่องสอน!n140"")+IMPORTRANGE(""https://docs.google.com/spreadsheets/d/1p7ERhsr0qZeSn-KSOdeHS9r0heI-lHtkcn2OH7hP0jQ/edit?usp=share_link"",""ลำปาง!"&amp;"n140"")+IMPORTRANGE(""https://docs.google.com/spreadsheets/d/1-uUXvimVhiU2U0bMN-xi2te0tS4X7DI2GLPnMjzl8cA/edit?usp=share_link"",""ลำพูน!n140"")+IMPORTRANGE(""https://docs.google.com/spreadsheets/d/17HrOaa5pBUI1onckFfumXB8xlg35qb2uBAFfF1D-Myo/edit?usp=shar"&amp;"e_link"",""สุโขทัย!n140"")+IMPORTRANGE(""https://docs.google.com/spreadsheets/d/1ubs5cl16eYL9gHbdHTJtmtYb9MGzHBs7CAphn8kNCgM/edit?usp=share_link"",""อุตรดิตถ์!n140"")+IMPORTRANGE(""https://docs.google.com/spreadsheets/d/1kII0BjS6CtVrBvI8IrytgPdxDrlyQDyigz"&amp;"MsohRtDMs/edit?usp=share_link"",""อุทัยธานี!n140"")
"),1204500)</f>
        <v>1204500</v>
      </c>
      <c r="O140" s="45">
        <f t="shared" ca="1" si="88"/>
        <v>97.451456310679617</v>
      </c>
      <c r="P140" s="45">
        <f t="shared" ca="1" si="89"/>
        <v>99.504337050805447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xicF4apzSqm0-jIpmueT4kyZtE-Cwn5zskl7GD4loQ/edit?usp=share_link"",""กำแพงเพชร!J142"")+IMPORTRANGE(""https://docs.google.com/spreadsheets/d/1ZNYWeiFoFA1K1U4xKWqRX29MBvEyRHXORjo734Gnq_c/edit?usp=share_li"&amp;"nk"",""เชียงราย!J142"")
+IMPORTRANGE(""https://docs.google.com/spreadsheets/d/1Jgv0Y7YlHDtsiDawwp-uvifEJ8HVaSn0k2aGHG8-hwM/edit?usp=share_link"",""เชียงใหม่!J142"")+IMPORTRANGE(""https://docs.google.com/spreadsheets/d/1JWG2rZePOz9pe-f-ObA-yDr0VoOX2kSb0qIi"&amp;"x2mTUo8/edit?usp=share_link"",""ตาก!J142"")+IMPORTRANGE(""https://docs.google.com/spreadsheets/d/10nSRjK08hx8Y6HgSOQKNw81lyY46Zc7U_Cj72hBMp9U/edit?usp=share_link"",""นครสวรรค์!J142"")+IMPORTRANGE(""https://docs.google.com/spreadsheets/d/1gFVb7qd7amutrIxAA"&amp;"oM7lcy35hllxznovot8lyOfvDo/edit?usp=share_link"",""น่าน!J142"")+IMPORTRANGE(""https://docs.google.com/spreadsheets/d/1K0Aa9s-6EuHE5M0FG1F9aHLXRCOV917xvycTdLdct0w/edit?usp=share_link"",""พะเยา!J142"")+IMPORTRANGE(""https://docs.google.com/spreadsheets/d/1Y"&amp;"9LPKx95PyL5OKy09d-KbKJSuuEZCFdkhYjwC0XQjBA/edit?usp=share_link"",""พิจิตร!J142"")+IMPORTRANGE(""https://docs.google.com/spreadsheets/d/16OMuOwy2eVqZcYWOouQtTpa8X1L23h4660uVHc0C8os/edit?usp=share_link"",""พิษณุโลก!J142"")+IMPORTRANGE(""https://docs.google."&amp;"com/spreadsheets/d/1GfgTldLG6k77HXaMQzaafODklYuucJZQNs_GAPEfZyY/edit?usp=share_link"",""เพชรบูรณ์!J142"")+IMPORTRANGE(""https://docs.google.com/spreadsheets/d/1gvTMYAnm7v1yG1BKWFtr0DnaTsq59oW9dwWvFgq6hs0/edit?usp=share_link"",""แพร่!J142"")+IMPORTRANGE("""&amp;"https://docs.google.com/spreadsheets/d/1Wbcosgy-Xa1xXUArJSOenub6EfZHUSzc_bpJFWwQUf0/edit?usp=share_link"",""แม่ฮ่องสอน!J142"")+IMPORTRANGE(""https://docs.google.com/spreadsheets/d/1p7ERhsr0qZeSn-KSOdeHS9r0heI-lHtkcn2OH7hP0jQ/edit?usp=share_link"",""ลำปาง!"&amp;"J142"")+IMPORTRANGE(""https://docs.google.com/spreadsheets/d/1-uUXvimVhiU2U0bMN-xi2te0tS4X7DI2GLPnMjzl8cA/edit?usp=share_link"",""ลำพูน!J142"")+IMPORTRANGE(""https://docs.google.com/spreadsheets/d/17HrOaa5pBUI1onckFfumXB8xlg35qb2uBAFfF1D-Myo/edit?usp=shar"&amp;"e_link"",""สุโขทัย!J142"")+IMPORTRANGE(""https://docs.google.com/spreadsheets/d/1ubs5cl16eYL9gHbdHTJtmtYb9MGzHBs7CAphn8kNCgM/edit?usp=share_link"",""อุตรดิตถ์!J142"")+IMPORTRANGE(""https://docs.google.com/spreadsheets/d/1kII0BjS6CtVrBvI8IrytgPdxDrlyQDyigz"&amp;"MsohRtDMs/edit?usp=share_link"",""อุทัยธานี!J142"")
"),1)</f>
        <v>1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120</v>
      </c>
      <c r="J143" s="37">
        <f ca="1">IFERROR(__xludf.DUMMYFUNCTION("IMPORTRANGE(""https://docs.google.com/spreadsheets/d/1KxicF4apzSqm0-jIpmueT4kyZtE-Cwn5zskl7GD4loQ/edit?usp=share_link"",""กำแพงเพชร!J143"")+IMPORTRANGE(""https://docs.google.com/spreadsheets/d/1ZNYWeiFoFA1K1U4xKWqRX29MBvEyRHXORjo734Gnq_c/edit?usp=share_li"&amp;"nk"",""เชียงราย!J143"")
+IMPORTRANGE(""https://docs.google.com/spreadsheets/d/1Jgv0Y7YlHDtsiDawwp-uvifEJ8HVaSn0k2aGHG8-hwM/edit?usp=share_link"",""เชียงใหม่!J143"")+IMPORTRANGE(""https://docs.google.com/spreadsheets/d/1JWG2rZePOz9pe-f-ObA-yDr0VoOX2kSb0qIi"&amp;"x2mTUo8/edit?usp=share_link"",""ตาก!J143"")+IMPORTRANGE(""https://docs.google.com/spreadsheets/d/10nSRjK08hx8Y6HgSOQKNw81lyY46Zc7U_Cj72hBMp9U/edit?usp=share_link"",""นครสวรรค์!J143"")+IMPORTRANGE(""https://docs.google.com/spreadsheets/d/1gFVb7qd7amutrIxAA"&amp;"oM7lcy35hllxznovot8lyOfvDo/edit?usp=share_link"",""น่าน!J143"")+IMPORTRANGE(""https://docs.google.com/spreadsheets/d/1K0Aa9s-6EuHE5M0FG1F9aHLXRCOV917xvycTdLdct0w/edit?usp=share_link"",""พะเยา!J143"")+IMPORTRANGE(""https://docs.google.com/spreadsheets/d/1Y"&amp;"9LPKx95PyL5OKy09d-KbKJSuuEZCFdkhYjwC0XQjBA/edit?usp=share_link"",""พิจิตร!J143"")+IMPORTRANGE(""https://docs.google.com/spreadsheets/d/16OMuOwy2eVqZcYWOouQtTpa8X1L23h4660uVHc0C8os/edit?usp=share_link"",""พิษณุโลก!J143"")+IMPORTRANGE(""https://docs.google."&amp;"com/spreadsheets/d/1GfgTldLG6k77HXaMQzaafODklYuucJZQNs_GAPEfZyY/edit?usp=share_link"",""เพชรบูรณ์!J143"")+IMPORTRANGE(""https://docs.google.com/spreadsheets/d/1gvTMYAnm7v1yG1BKWFtr0DnaTsq59oW9dwWvFgq6hs0/edit?usp=share_link"",""แพร่!J143"")+IMPORTRANGE("""&amp;"https://docs.google.com/spreadsheets/d/1Wbcosgy-Xa1xXUArJSOenub6EfZHUSzc_bpJFWwQUf0/edit?usp=share_link"",""แม่ฮ่องสอน!J143"")+IMPORTRANGE(""https://docs.google.com/spreadsheets/d/1p7ERhsr0qZeSn-KSOdeHS9r0heI-lHtkcn2OH7hP0jQ/edit?usp=share_link"",""ลำปาง!"&amp;"J143"")+IMPORTRANGE(""https://docs.google.com/spreadsheets/d/1-uUXvimVhiU2U0bMN-xi2te0tS4X7DI2GLPnMjzl8cA/edit?usp=share_link"",""ลำพูน!J143"")+IMPORTRANGE(""https://docs.google.com/spreadsheets/d/17HrOaa5pBUI1onckFfumXB8xlg35qb2uBAFfF1D-Myo/edit?usp=shar"&amp;"e_link"",""สุโขทัย!J143"")+IMPORTRANGE(""https://docs.google.com/spreadsheets/d/1ubs5cl16eYL9gHbdHTJtmtYb9MGzHBs7CAphn8kNCgM/edit?usp=share_link"",""อุตรดิตถ์!J143"")+IMPORTRANGE(""https://docs.google.com/spreadsheets/d/1kII0BjS6CtVrBvI8IrytgPdxDrlyQDyigz"&amp;"MsohRtDMs/edit?usp=share_link"",""อุทัยธานี!J143"")
"),20)</f>
        <v>20</v>
      </c>
      <c r="K143" s="38">
        <f t="shared" ref="K143:K146" ca="1" si="94">IF(I143&gt;0,J143*100/I143,0)</f>
        <v>16.666666666666668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xicF4apzSqm0-jIpmueT4kyZtE-Cwn5zskl7GD4loQ/edit?usp=share_link"",""กำแพงเพชร!I144"")+IMPORTRANGE(""https://docs.google.com/spreadsheets/d/1ZNYWeiFoFA1K1U4xKWqRX29MBvEyRHXORjo734Gnq_c/edit?usp=share_li"&amp;"nk"",""เชียงราย!I144"")
+IMPORTRANGE(""https://docs.google.com/spreadsheets/d/1Jgv0Y7YlHDtsiDawwp-uvifEJ8HVaSn0k2aGHG8-hwM/edit?usp=share_link"",""เชียงใหม่!I144"")+IMPORTRANGE(""https://docs.google.com/spreadsheets/d/1JWG2rZePOz9pe-f-ObA-yDr0VoOX2kSb0qIi"&amp;"x2mTUo8/edit?usp=share_link"",""ตาก!I144"")+IMPORTRANGE(""https://docs.google.com/spreadsheets/d/10nSRjK08hx8Y6HgSOQKNw81lyY46Zc7U_Cj72hBMp9U/edit?usp=share_link"",""นครสวรรค์!I144"")+IMPORTRANGE(""https://docs.google.com/spreadsheets/d/1gFVb7qd7amutrIxAA"&amp;"oM7lcy35hllxznovot8lyOfvDo/edit?usp=share_link"",""น่าน!I144"")+IMPORTRANGE(""https://docs.google.com/spreadsheets/d/1K0Aa9s-6EuHE5M0FG1F9aHLXRCOV917xvycTdLdct0w/edit?usp=share_link"",""พะเยา!I144"")+IMPORTRANGE(""https://docs.google.com/spreadsheets/d/1Y"&amp;"9LPKx95PyL5OKy09d-KbKJSuuEZCFdkhYjwC0XQjBA/edit?usp=share_link"",""พิจิตร!I144"")+IMPORTRANGE(""https://docs.google.com/spreadsheets/d/16OMuOwy2eVqZcYWOouQtTpa8X1L23h4660uVHc0C8os/edit?usp=share_link"",""พิษณุโลก!I144"")+IMPORTRANGE(""https://docs.google."&amp;"com/spreadsheets/d/1GfgTldLG6k77HXaMQzaafODklYuucJZQNs_GAPEfZyY/edit?usp=share_link"",""เพชรบูรณ์!I144"")+IMPORTRANGE(""https://docs.google.com/spreadsheets/d/1gvTMYAnm7v1yG1BKWFtr0DnaTsq59oW9dwWvFgq6hs0/edit?usp=share_link"",""แพร่!I144"")+IMPORTRANGE("""&amp;"https://docs.google.com/spreadsheets/d/1Wbcosgy-Xa1xXUArJSOenub6EfZHUSzc_bpJFWwQUf0/edit?usp=share_link"",""แม่ฮ่องสอน!I144"")+IMPORTRANGE(""https://docs.google.com/spreadsheets/d/1p7ERhsr0qZeSn-KSOdeHS9r0heI-lHtkcn2OH7hP0jQ/edit?usp=share_link"",""ลำปาง!"&amp;"I144"")+IMPORTRANGE(""https://docs.google.com/spreadsheets/d/1-uUXvimVhiU2U0bMN-xi2te0tS4X7DI2GLPnMjzl8cA/edit?usp=share_link"",""ลำพูน!I144"")+IMPORTRANGE(""https://docs.google.com/spreadsheets/d/17HrOaa5pBUI1onckFfumXB8xlg35qb2uBAFfF1D-Myo/edit?usp=shar"&amp;"e_link"",""สุโขทัย!I144"")+IMPORTRANGE(""https://docs.google.com/spreadsheets/d/1ubs5cl16eYL9gHbdHTJtmtYb9MGzHBs7CAphn8kNCgM/edit?usp=share_link"",""อุตรดิตถ์!I144"")+IMPORTRANGE(""https://docs.google.com/spreadsheets/d/1kII0BjS6CtVrBvI8IrytgPdxDrlyQDyigz"&amp;"MsohRtDMs/edit?usp=share_link"",""อุทัยธานี!I144"")
"),60)</f>
        <v>60</v>
      </c>
      <c r="J144" s="183">
        <f ca="1">IFERROR(__xludf.DUMMYFUNCTION("IMPORTRANGE(""https://docs.google.com/spreadsheets/d/1KxicF4apzSqm0-jIpmueT4kyZtE-Cwn5zskl7GD4loQ/edit?usp=share_link"",""กำแพงเพชร!J144"")+IMPORTRANGE(""https://docs.google.com/spreadsheets/d/1ZNYWeiFoFA1K1U4xKWqRX29MBvEyRHXORjo734Gnq_c/edit?usp=share_li"&amp;"nk"",""เชียงราย!J144"")
+IMPORTRANGE(""https://docs.google.com/spreadsheets/d/1Jgv0Y7YlHDtsiDawwp-uvifEJ8HVaSn0k2aGHG8-hwM/edit?usp=share_link"",""เชียงใหม่!J144"")+IMPORTRANGE(""https://docs.google.com/spreadsheets/d/1JWG2rZePOz9pe-f-ObA-yDr0VoOX2kSb0qIi"&amp;"x2mTUo8/edit?usp=share_link"",""ตาก!J144"")+IMPORTRANGE(""https://docs.google.com/spreadsheets/d/10nSRjK08hx8Y6HgSOQKNw81lyY46Zc7U_Cj72hBMp9U/edit?usp=share_link"",""นครสวรรค์!J144"")+IMPORTRANGE(""https://docs.google.com/spreadsheets/d/1gFVb7qd7amutrIxAA"&amp;"oM7lcy35hllxznovot8lyOfvDo/edit?usp=share_link"",""น่าน!J144"")+IMPORTRANGE(""https://docs.google.com/spreadsheets/d/1K0Aa9s-6EuHE5M0FG1F9aHLXRCOV917xvycTdLdct0w/edit?usp=share_link"",""พะเยา!J144"")+IMPORTRANGE(""https://docs.google.com/spreadsheets/d/1Y"&amp;"9LPKx95PyL5OKy09d-KbKJSuuEZCFdkhYjwC0XQjBA/edit?usp=share_link"",""พิจิตร!J144"")+IMPORTRANGE(""https://docs.google.com/spreadsheets/d/16OMuOwy2eVqZcYWOouQtTpa8X1L23h4660uVHc0C8os/edit?usp=share_link"",""พิษณุโลก!J144"")+IMPORTRANGE(""https://docs.google."&amp;"com/spreadsheets/d/1GfgTldLG6k77HXaMQzaafODklYuucJZQNs_GAPEfZyY/edit?usp=share_link"",""เพชรบูรณ์!J144"")+IMPORTRANGE(""https://docs.google.com/spreadsheets/d/1gvTMYAnm7v1yG1BKWFtr0DnaTsq59oW9dwWvFgq6hs0/edit?usp=share_link"",""แพร่!J144"")+IMPORTRANGE("""&amp;"https://docs.google.com/spreadsheets/d/1Wbcosgy-Xa1xXUArJSOenub6EfZHUSzc_bpJFWwQUf0/edit?usp=share_link"",""แม่ฮ่องสอน!J144"")+IMPORTRANGE(""https://docs.google.com/spreadsheets/d/1p7ERhsr0qZeSn-KSOdeHS9r0heI-lHtkcn2OH7hP0jQ/edit?usp=share_link"",""ลำปาง!"&amp;"J144"")+IMPORTRANGE(""https://docs.google.com/spreadsheets/d/1-uUXvimVhiU2U0bMN-xi2te0tS4X7DI2GLPnMjzl8cA/edit?usp=share_link"",""ลำพูน!J144"")+IMPORTRANGE(""https://docs.google.com/spreadsheets/d/17HrOaa5pBUI1onckFfumXB8xlg35qb2uBAFfF1D-Myo/edit?usp=shar"&amp;"e_link"",""สุโขทัย!J144"")+IMPORTRANGE(""https://docs.google.com/spreadsheets/d/1ubs5cl16eYL9gHbdHTJtmtYb9MGzHBs7CAphn8kNCgM/edit?usp=share_link"",""อุตรดิตถ์!J144"")+IMPORTRANGE(""https://docs.google.com/spreadsheets/d/1kII0BjS6CtVrBvI8IrytgPdxDrlyQDyigz"&amp;"MsohRtDMs/edit?usp=share_link"",""อุทัยธานี!J144"")
"),70)</f>
        <v>70</v>
      </c>
      <c r="K144" s="38">
        <f t="shared" ca="1" si="94"/>
        <v>116.66666666666667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xicF4apzSqm0-jIpmueT4kyZtE-Cwn5zskl7GD4loQ/edit?usp=share_link"",""กำแพงเพชร!I145"")+IMPORTRANGE(""https://docs.google.com/spreadsheets/d/1ZNYWeiFoFA1K1U4xKWqRX29MBvEyRHXORjo734Gnq_c/edit?usp=share_li"&amp;"nk"",""เชียงราย!I145"")
+IMPORTRANGE(""https://docs.google.com/spreadsheets/d/1Jgv0Y7YlHDtsiDawwp-uvifEJ8HVaSn0k2aGHG8-hwM/edit?usp=share_link"",""เชียงใหม่!I145"")+IMPORTRANGE(""https://docs.google.com/spreadsheets/d/1JWG2rZePOz9pe-f-ObA-yDr0VoOX2kSb0qIi"&amp;"x2mTUo8/edit?usp=share_link"",""ตาก!I145"")+IMPORTRANGE(""https://docs.google.com/spreadsheets/d/10nSRjK08hx8Y6HgSOQKNw81lyY46Zc7U_Cj72hBMp9U/edit?usp=share_link"",""นครสวรรค์!I145"")+IMPORTRANGE(""https://docs.google.com/spreadsheets/d/1gFVb7qd7amutrIxAA"&amp;"oM7lcy35hllxznovot8lyOfvDo/edit?usp=share_link"",""น่าน!I145"")+IMPORTRANGE(""https://docs.google.com/spreadsheets/d/1K0Aa9s-6EuHE5M0FG1F9aHLXRCOV917xvycTdLdct0w/edit?usp=share_link"",""พะเยา!I145"")+IMPORTRANGE(""https://docs.google.com/spreadsheets/d/1Y"&amp;"9LPKx95PyL5OKy09d-KbKJSuuEZCFdkhYjwC0XQjBA/edit?usp=share_link"",""พิจิตร!I145"")+IMPORTRANGE(""https://docs.google.com/spreadsheets/d/16OMuOwy2eVqZcYWOouQtTpa8X1L23h4660uVHc0C8os/edit?usp=share_link"",""พิษณุโลก!I145"")+IMPORTRANGE(""https://docs.google."&amp;"com/spreadsheets/d/1GfgTldLG6k77HXaMQzaafODklYuucJZQNs_GAPEfZyY/edit?usp=share_link"",""เพชรบูรณ์!I145"")+IMPORTRANGE(""https://docs.google.com/spreadsheets/d/1gvTMYAnm7v1yG1BKWFtr0DnaTsq59oW9dwWvFgq6hs0/edit?usp=share_link"",""แพร่!I145"")+IMPORTRANGE("""&amp;"https://docs.google.com/spreadsheets/d/1Wbcosgy-Xa1xXUArJSOenub6EfZHUSzc_bpJFWwQUf0/edit?usp=share_link"",""แม่ฮ่องสอน!I145"")+IMPORTRANGE(""https://docs.google.com/spreadsheets/d/1p7ERhsr0qZeSn-KSOdeHS9r0heI-lHtkcn2OH7hP0jQ/edit?usp=share_link"",""ลำปาง!"&amp;"I145"")+IMPORTRANGE(""https://docs.google.com/spreadsheets/d/1-uUXvimVhiU2U0bMN-xi2te0tS4X7DI2GLPnMjzl8cA/edit?usp=share_link"",""ลำพูน!I145"")+IMPORTRANGE(""https://docs.google.com/spreadsheets/d/17HrOaa5pBUI1onckFfumXB8xlg35qb2uBAFfF1D-Myo/edit?usp=shar"&amp;"e_link"",""สุโขทัย!I145"")+IMPORTRANGE(""https://docs.google.com/spreadsheets/d/1ubs5cl16eYL9gHbdHTJtmtYb9MGzHBs7CAphn8kNCgM/edit?usp=share_link"",""อุตรดิตถ์!I145"")+IMPORTRANGE(""https://docs.google.com/spreadsheets/d/1kII0BjS6CtVrBvI8IrytgPdxDrlyQDyigz"&amp;"MsohRtDMs/edit?usp=share_link"",""อุทัยธานี!I145"")
"),120)</f>
        <v>120</v>
      </c>
      <c r="J145" s="183">
        <f ca="1">IFERROR(__xludf.DUMMYFUNCTION("IMPORTRANGE(""https://docs.google.com/spreadsheets/d/1KxicF4apzSqm0-jIpmueT4kyZtE-Cwn5zskl7GD4loQ/edit?usp=share_link"",""กำแพงเพชร!J145"")+IMPORTRANGE(""https://docs.google.com/spreadsheets/d/1ZNYWeiFoFA1K1U4xKWqRX29MBvEyRHXORjo734Gnq_c/edit?usp=share_li"&amp;"nk"",""เชียงราย!J145"")
+IMPORTRANGE(""https://docs.google.com/spreadsheets/d/1Jgv0Y7YlHDtsiDawwp-uvifEJ8HVaSn0k2aGHG8-hwM/edit?usp=share_link"",""เชียงใหม่!J145"")+IMPORTRANGE(""https://docs.google.com/spreadsheets/d/1JWG2rZePOz9pe-f-ObA-yDr0VoOX2kSb0qIi"&amp;"x2mTUo8/edit?usp=share_link"",""ตาก!J145"")+IMPORTRANGE(""https://docs.google.com/spreadsheets/d/10nSRjK08hx8Y6HgSOQKNw81lyY46Zc7U_Cj72hBMp9U/edit?usp=share_link"",""นครสวรรค์!J145"")+IMPORTRANGE(""https://docs.google.com/spreadsheets/d/1gFVb7qd7amutrIxAA"&amp;"oM7lcy35hllxznovot8lyOfvDo/edit?usp=share_link"",""น่าน!J145"")+IMPORTRANGE(""https://docs.google.com/spreadsheets/d/1K0Aa9s-6EuHE5M0FG1F9aHLXRCOV917xvycTdLdct0w/edit?usp=share_link"",""พะเยา!J145"")+IMPORTRANGE(""https://docs.google.com/spreadsheets/d/1Y"&amp;"9LPKx95PyL5OKy09d-KbKJSuuEZCFdkhYjwC0XQjBA/edit?usp=share_link"",""พิจิตร!J145"")+IMPORTRANGE(""https://docs.google.com/spreadsheets/d/16OMuOwy2eVqZcYWOouQtTpa8X1L23h4660uVHc0C8os/edit?usp=share_link"",""พิษณุโลก!J145"")+IMPORTRANGE(""https://docs.google."&amp;"com/spreadsheets/d/1GfgTldLG6k77HXaMQzaafODklYuucJZQNs_GAPEfZyY/edit?usp=share_link"",""เพชรบูรณ์!J145"")+IMPORTRANGE(""https://docs.google.com/spreadsheets/d/1gvTMYAnm7v1yG1BKWFtr0DnaTsq59oW9dwWvFgq6hs0/edit?usp=share_link"",""แพร่!J145"")+IMPORTRANGE("""&amp;"https://docs.google.com/spreadsheets/d/1Wbcosgy-Xa1xXUArJSOenub6EfZHUSzc_bpJFWwQUf0/edit?usp=share_link"",""แม่ฮ่องสอน!J145"")+IMPORTRANGE(""https://docs.google.com/spreadsheets/d/1p7ERhsr0qZeSn-KSOdeHS9r0heI-lHtkcn2OH7hP0jQ/edit?usp=share_link"",""ลำปาง!"&amp;"J145"")+IMPORTRANGE(""https://docs.google.com/spreadsheets/d/1-uUXvimVhiU2U0bMN-xi2te0tS4X7DI2GLPnMjzl8cA/edit?usp=share_link"",""ลำพูน!J145"")+IMPORTRANGE(""https://docs.google.com/spreadsheets/d/17HrOaa5pBUI1onckFfumXB8xlg35qb2uBAFfF1D-Myo/edit?usp=shar"&amp;"e_link"",""สุโขทัย!J145"")+IMPORTRANGE(""https://docs.google.com/spreadsheets/d/1ubs5cl16eYL9gHbdHTJtmtYb9MGzHBs7CAphn8kNCgM/edit?usp=share_link"",""อุตรดิตถ์!J145"")+IMPORTRANGE(""https://docs.google.com/spreadsheets/d/1kII0BjS6CtVrBvI8IrytgPdxDrlyQDyigz"&amp;"MsohRtDMs/edit?usp=share_link"",""อุทัยธานี!J145"")
"),20)</f>
        <v>20</v>
      </c>
      <c r="K145" s="38">
        <f t="shared" ca="1" si="94"/>
        <v>16.666666666666668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xicF4apzSqm0-jIpmueT4kyZtE-Cwn5zskl7GD4loQ/edit?usp=share_link"",""กำแพงเพชร!I146"")+IMPORTRANGE(""https://docs.google.com/spreadsheets/d/1ZNYWeiFoFA1K1U4xKWqRX29MBvEyRHXORjo734Gnq_c/edit?usp=share_li"&amp;"nk"",""เชียงราย!I146"")
+IMPORTRANGE(""https://docs.google.com/spreadsheets/d/1Jgv0Y7YlHDtsiDawwp-uvifEJ8HVaSn0k2aGHG8-hwM/edit?usp=share_link"",""เชียงใหม่!I146"")+IMPORTRANGE(""https://docs.google.com/spreadsheets/d/1JWG2rZePOz9pe-f-ObA-yDr0VoOX2kSb0qIi"&amp;"x2mTUo8/edit?usp=share_link"",""ตาก!I146"")+IMPORTRANGE(""https://docs.google.com/spreadsheets/d/10nSRjK08hx8Y6HgSOQKNw81lyY46Zc7U_Cj72hBMp9U/edit?usp=share_link"",""นครสวรรค์!I146"")+IMPORTRANGE(""https://docs.google.com/spreadsheets/d/1gFVb7qd7amutrIxAA"&amp;"oM7lcy35hllxznovot8lyOfvDo/edit?usp=share_link"",""น่าน!I146"")+IMPORTRANGE(""https://docs.google.com/spreadsheets/d/1K0Aa9s-6EuHE5M0FG1F9aHLXRCOV917xvycTdLdct0w/edit?usp=share_link"",""พะเยา!I146"")+IMPORTRANGE(""https://docs.google.com/spreadsheets/d/1Y"&amp;"9LPKx95PyL5OKy09d-KbKJSuuEZCFdkhYjwC0XQjBA/edit?usp=share_link"",""พิจิตร!I146"")+IMPORTRANGE(""https://docs.google.com/spreadsheets/d/16OMuOwy2eVqZcYWOouQtTpa8X1L23h4660uVHc0C8os/edit?usp=share_link"",""พิษณุโลก!I146"")+IMPORTRANGE(""https://docs.google."&amp;"com/spreadsheets/d/1GfgTldLG6k77HXaMQzaafODklYuucJZQNs_GAPEfZyY/edit?usp=share_link"",""เพชรบูรณ์!I146"")+IMPORTRANGE(""https://docs.google.com/spreadsheets/d/1gvTMYAnm7v1yG1BKWFtr0DnaTsq59oW9dwWvFgq6hs0/edit?usp=share_link"",""แพร่!I146"")+IMPORTRANGE("""&amp;"https://docs.google.com/spreadsheets/d/1Wbcosgy-Xa1xXUArJSOenub6EfZHUSzc_bpJFWwQUf0/edit?usp=share_link"",""แม่ฮ่องสอน!I146"")+IMPORTRANGE(""https://docs.google.com/spreadsheets/d/1p7ERhsr0qZeSn-KSOdeHS9r0heI-lHtkcn2OH7hP0jQ/edit?usp=share_link"",""ลำปาง!"&amp;"I146"")+IMPORTRANGE(""https://docs.google.com/spreadsheets/d/1-uUXvimVhiU2U0bMN-xi2te0tS4X7DI2GLPnMjzl8cA/edit?usp=share_link"",""ลำพูน!I146"")+IMPORTRANGE(""https://docs.google.com/spreadsheets/d/17HrOaa5pBUI1onckFfumXB8xlg35qb2uBAFfF1D-Myo/edit?usp=shar"&amp;"e_link"",""สุโขทัย!I146"")+IMPORTRANGE(""https://docs.google.com/spreadsheets/d/1ubs5cl16eYL9gHbdHTJtmtYb9MGzHBs7CAphn8kNCgM/edit?usp=share_link"",""อุตรดิตถ์!I146"")+IMPORTRANGE(""https://docs.google.com/spreadsheets/d/1kII0BjS6CtVrBvI8IrytgPdxDrlyQDyigz"&amp;"MsohRtDMs/edit?usp=share_link"",""อุทัยธานี!I146"")
"),12)</f>
        <v>12</v>
      </c>
      <c r="J146" s="183">
        <f ca="1">IFERROR(__xludf.DUMMYFUNCTION("IMPORTRANGE(""https://docs.google.com/spreadsheets/d/1KxicF4apzSqm0-jIpmueT4kyZtE-Cwn5zskl7GD4loQ/edit?usp=share_link"",""กำแพงเพชร!J146"")+IMPORTRANGE(""https://docs.google.com/spreadsheets/d/1ZNYWeiFoFA1K1U4xKWqRX29MBvEyRHXORjo734Gnq_c/edit?usp=share_li"&amp;"nk"",""เชียงราย!J146"")
+IMPORTRANGE(""https://docs.google.com/spreadsheets/d/1Jgv0Y7YlHDtsiDawwp-uvifEJ8HVaSn0k2aGHG8-hwM/edit?usp=share_link"",""เชียงใหม่!J146"")+IMPORTRANGE(""https://docs.google.com/spreadsheets/d/1JWG2rZePOz9pe-f-ObA-yDr0VoOX2kSb0qIi"&amp;"x2mTUo8/edit?usp=share_link"",""ตาก!J146"")+IMPORTRANGE(""https://docs.google.com/spreadsheets/d/10nSRjK08hx8Y6HgSOQKNw81lyY46Zc7U_Cj72hBMp9U/edit?usp=share_link"",""นครสวรรค์!J146"")+IMPORTRANGE(""https://docs.google.com/spreadsheets/d/1gFVb7qd7amutrIxAA"&amp;"oM7lcy35hllxznovot8lyOfvDo/edit?usp=share_link"",""น่าน!J146"")+IMPORTRANGE(""https://docs.google.com/spreadsheets/d/1K0Aa9s-6EuHE5M0FG1F9aHLXRCOV917xvycTdLdct0w/edit?usp=share_link"",""พะเยา!J146"")+IMPORTRANGE(""https://docs.google.com/spreadsheets/d/1Y"&amp;"9LPKx95PyL5OKy09d-KbKJSuuEZCFdkhYjwC0XQjBA/edit?usp=share_link"",""พิจิตร!J146"")+IMPORTRANGE(""https://docs.google.com/spreadsheets/d/16OMuOwy2eVqZcYWOouQtTpa8X1L23h4660uVHc0C8os/edit?usp=share_link"",""พิษณุโลก!J146"")+IMPORTRANGE(""https://docs.google."&amp;"com/spreadsheets/d/1GfgTldLG6k77HXaMQzaafODklYuucJZQNs_GAPEfZyY/edit?usp=share_link"",""เพชรบูรณ์!J146"")+IMPORTRANGE(""https://docs.google.com/spreadsheets/d/1gvTMYAnm7v1yG1BKWFtr0DnaTsq59oW9dwWvFgq6hs0/edit?usp=share_link"",""แพร่!J146"")+IMPORTRANGE("""&amp;"https://docs.google.com/spreadsheets/d/1Wbcosgy-Xa1xXUArJSOenub6EfZHUSzc_bpJFWwQUf0/edit?usp=share_link"",""แม่ฮ่องสอน!J146"")+IMPORTRANGE(""https://docs.google.com/spreadsheets/d/1p7ERhsr0qZeSn-KSOdeHS9r0heI-lHtkcn2OH7hP0jQ/edit?usp=share_link"",""ลำปาง!"&amp;"J146"")+IMPORTRANGE(""https://docs.google.com/spreadsheets/d/1-uUXvimVhiU2U0bMN-xi2te0tS4X7DI2GLPnMjzl8cA/edit?usp=share_link"",""ลำพูน!J146"")+IMPORTRANGE(""https://docs.google.com/spreadsheets/d/17HrOaa5pBUI1onckFfumXB8xlg35qb2uBAFfF1D-Myo/edit?usp=shar"&amp;"e_link"",""สุโขทัย!J146"")+IMPORTRANGE(""https://docs.google.com/spreadsheets/d/1ubs5cl16eYL9gHbdHTJtmtYb9MGzHBs7CAphn8kNCgM/edit?usp=share_link"",""อุตรดิตถ์!J146"")+IMPORTRANGE(""https://docs.google.com/spreadsheets/d/1kII0BjS6CtVrBvI8IrytgPdxDrlyQDyigz"&amp;"MsohRtDMs/edit?usp=share_link"",""อุทัยธานี!J146"")
"),10)</f>
        <v>10</v>
      </c>
      <c r="K146" s="38">
        <f t="shared" ca="1" si="94"/>
        <v>83.333333333333329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5">I159</f>
        <v>180</v>
      </c>
      <c r="J148" s="144">
        <f t="shared" ca="1" si="95"/>
        <v>145</v>
      </c>
      <c r="K148" s="145">
        <f ca="1">IF(I148&gt;0,J148*100/I148,0)</f>
        <v>80.555555555555557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90000</v>
      </c>
      <c r="M149" s="155">
        <f t="shared" ca="1" si="96"/>
        <v>306140</v>
      </c>
      <c r="N149" s="155">
        <f t="shared" ca="1" si="96"/>
        <v>127766.79</v>
      </c>
      <c r="O149" s="155">
        <f t="shared" ref="O149:O157" ca="1" si="97">IF(L149&gt;0,N149*100/L149,0)</f>
        <v>141.9631</v>
      </c>
      <c r="P149" s="155">
        <f t="shared" ref="P149:P157" ca="1" si="98">IF(M149&gt;0,N149*100/M149,0)</f>
        <v>41.734758607173191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90000</v>
      </c>
      <c r="M151" s="45">
        <f t="shared" ca="1" si="100"/>
        <v>306140</v>
      </c>
      <c r="N151" s="45">
        <f t="shared" ca="1" si="100"/>
        <v>127766.79</v>
      </c>
      <c r="O151" s="45">
        <f t="shared" ca="1" si="97"/>
        <v>141.9631</v>
      </c>
      <c r="P151" s="45">
        <f t="shared" ca="1" si="98"/>
        <v>41.734758607173191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90000</v>
      </c>
      <c r="M152" s="38">
        <f t="shared" ca="1" si="101"/>
        <v>306140</v>
      </c>
      <c r="N152" s="38">
        <f t="shared" ca="1" si="101"/>
        <v>127766.79</v>
      </c>
      <c r="O152" s="38">
        <f t="shared" ca="1" si="97"/>
        <v>141.9631</v>
      </c>
      <c r="P152" s="38">
        <f t="shared" ca="1" si="98"/>
        <v>41.734758607173191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xicF4apzSqm0-jIpmueT4kyZtE-Cwn5zskl7GD4loQ/edit?usp=share_link"",""กำแพงเพชร!l154"")+IMPORTRANGE(""https://docs.google.com/spreadsheets/d/1ZNYWeiFoFA1K1U4xKWqRX29MBvEyRHXORjo734Gnq_c/edit?usp=share_li"&amp;"nk"",""เชียงราย!l154"")
+IMPORTRANGE(""https://docs.google.com/spreadsheets/d/1Jgv0Y7YlHDtsiDawwp-uvifEJ8HVaSn0k2aGHG8-hwM/edit?usp=share_link"",""เชียงใหม่!l154"")+IMPORTRANGE(""https://docs.google.com/spreadsheets/d/1JWG2rZePOz9pe-f-ObA-yDr0VoOX2kSb0qIi"&amp;"x2mTUo8/edit?usp=share_link"",""ตาก!l154"")+IMPORTRANGE(""https://docs.google.com/spreadsheets/d/10nSRjK08hx8Y6HgSOQKNw81lyY46Zc7U_Cj72hBMp9U/edit?usp=share_link"",""นครสวรรค์!l154"")+IMPORTRANGE(""https://docs.google.com/spreadsheets/d/1gFVb7qd7amutrIxAA"&amp;"oM7lcy35hllxznovot8lyOfvDo/edit?usp=share_link"",""น่าน!l154"")+IMPORTRANGE(""https://docs.google.com/spreadsheets/d/1K0Aa9s-6EuHE5M0FG1F9aHLXRCOV917xvycTdLdct0w/edit?usp=share_link"",""พะเยา!l154"")+IMPORTRANGE(""https://docs.google.com/spreadsheets/d/1Y"&amp;"9LPKx95PyL5OKy09d-KbKJSuuEZCFdkhYjwC0XQjBA/edit?usp=share_link"",""พิจิตร!l154"")+IMPORTRANGE(""https://docs.google.com/spreadsheets/d/16OMuOwy2eVqZcYWOouQtTpa8X1L23h4660uVHc0C8os/edit?usp=share_link"",""พิษณุโลก!l154"")+IMPORTRANGE(""https://docs.google."&amp;"com/spreadsheets/d/1GfgTldLG6k77HXaMQzaafODklYuucJZQNs_GAPEfZyY/edit?usp=share_link"",""เพชรบูรณ์!l154"")+IMPORTRANGE(""https://docs.google.com/spreadsheets/d/1gvTMYAnm7v1yG1BKWFtr0DnaTsq59oW9dwWvFgq6hs0/edit?usp=share_link"",""แพร่!l154"")+IMPORTRANGE("""&amp;"https://docs.google.com/spreadsheets/d/1Wbcosgy-Xa1xXUArJSOenub6EfZHUSzc_bpJFWwQUf0/edit?usp=share_link"",""แม่ฮ่องสอน!l154"")+IMPORTRANGE(""https://docs.google.com/spreadsheets/d/1p7ERhsr0qZeSn-KSOdeHS9r0heI-lHtkcn2OH7hP0jQ/edit?usp=share_link"",""ลำปาง!"&amp;"l154"")+IMPORTRANGE(""https://docs.google.com/spreadsheets/d/1-uUXvimVhiU2U0bMN-xi2te0tS4X7DI2GLPnMjzl8cA/edit?usp=share_link"",""ลำพูน!l154"")+IMPORTRANGE(""https://docs.google.com/spreadsheets/d/17HrOaa5pBUI1onckFfumXB8xlg35qb2uBAFfF1D-Myo/edit?usp=shar"&amp;"e_link"",""สุโขทัย!l154"")+IMPORTRANGE(""https://docs.google.com/spreadsheets/d/1ubs5cl16eYL9gHbdHTJtmtYb9MGzHBs7CAphn8kNCgM/edit?usp=share_link"",""อุตรดิตถ์!l154"")+IMPORTRANGE(""https://docs.google.com/spreadsheets/d/1kII0BjS6CtVrBvI8IrytgPdxDrlyQDyigz"&amp;"MsohRtDMs/edit?usp=share_link"",""อุทัยธานี!l154"")
"),90000)</f>
        <v>90000</v>
      </c>
      <c r="M154" s="45">
        <f ca="1">IFERROR(__xludf.DUMMYFUNCTION("IMPORTRANGE(""https://docs.google.com/spreadsheets/d/1KxicF4apzSqm0-jIpmueT4kyZtE-Cwn5zskl7GD4loQ/edit?usp=share_link"",""กำแพงเพชร!m154"")+IMPORTRANGE(""https://docs.google.com/spreadsheets/d/1ZNYWeiFoFA1K1U4xKWqRX29MBvEyRHXORjo734Gnq_c/edit?usp=share_li"&amp;"nk"",""เชียงราย!m154"")
+IMPORTRANGE(""https://docs.google.com/spreadsheets/d/1Jgv0Y7YlHDtsiDawwp-uvifEJ8HVaSn0k2aGHG8-hwM/edit?usp=share_link"",""เชียงใหม่!m154"")+IMPORTRANGE(""https://docs.google.com/spreadsheets/d/1JWG2rZePOz9pe-f-ObA-yDr0VoOX2kSb0qIi"&amp;"x2mTUo8/edit?usp=share_link"",""ตาก!m154"")+IMPORTRANGE(""https://docs.google.com/spreadsheets/d/10nSRjK08hx8Y6HgSOQKNw81lyY46Zc7U_Cj72hBMp9U/edit?usp=share_link"",""นครสวรรค์!m154"")+IMPORTRANGE(""https://docs.google.com/spreadsheets/d/1gFVb7qd7amutrIxAA"&amp;"oM7lcy35hllxznovot8lyOfvDo/edit?usp=share_link"",""น่าน!m154"")+IMPORTRANGE(""https://docs.google.com/spreadsheets/d/1K0Aa9s-6EuHE5M0FG1F9aHLXRCOV917xvycTdLdct0w/edit?usp=share_link"",""พะเยา!m154"")+IMPORTRANGE(""https://docs.google.com/spreadsheets/d/1Y"&amp;"9LPKx95PyL5OKy09d-KbKJSuuEZCFdkhYjwC0XQjBA/edit?usp=share_link"",""พิจิตร!m154"")+IMPORTRANGE(""https://docs.google.com/spreadsheets/d/16OMuOwy2eVqZcYWOouQtTpa8X1L23h4660uVHc0C8os/edit?usp=share_link"",""พิษณุโลก!m154"")+IMPORTRANGE(""https://docs.google."&amp;"com/spreadsheets/d/1GfgTldLG6k77HXaMQzaafODklYuucJZQNs_GAPEfZyY/edit?usp=share_link"",""เพชรบูรณ์!m154"")+IMPORTRANGE(""https://docs.google.com/spreadsheets/d/1gvTMYAnm7v1yG1BKWFtr0DnaTsq59oW9dwWvFgq6hs0/edit?usp=share_link"",""แพร่!m154"")+IMPORTRANGE("""&amp;"https://docs.google.com/spreadsheets/d/1Wbcosgy-Xa1xXUArJSOenub6EfZHUSzc_bpJFWwQUf0/edit?usp=share_link"",""แม่ฮ่องสอน!m154"")+IMPORTRANGE(""https://docs.google.com/spreadsheets/d/1p7ERhsr0qZeSn-KSOdeHS9r0heI-lHtkcn2OH7hP0jQ/edit?usp=share_link"",""ลำปาง!"&amp;"m154"")+IMPORTRANGE(""https://docs.google.com/spreadsheets/d/1-uUXvimVhiU2U0bMN-xi2te0tS4X7DI2GLPnMjzl8cA/edit?usp=share_link"",""ลำพูน!m154"")+IMPORTRANGE(""https://docs.google.com/spreadsheets/d/17HrOaa5pBUI1onckFfumXB8xlg35qb2uBAFfF1D-Myo/edit?usp=shar"&amp;"e_link"",""สุโขทัย!m154"")+IMPORTRANGE(""https://docs.google.com/spreadsheets/d/1ubs5cl16eYL9gHbdHTJtmtYb9MGzHBs7CAphn8kNCgM/edit?usp=share_link"",""อุตรดิตถ์!m154"")+IMPORTRANGE(""https://docs.google.com/spreadsheets/d/1kII0BjS6CtVrBvI8IrytgPdxDrlyQDyigz"&amp;"MsohRtDMs/edit?usp=share_link"",""อุทัยธานี!m154"")
"),306140)</f>
        <v>306140</v>
      </c>
      <c r="N154" s="45">
        <f ca="1">IFERROR(__xludf.DUMMYFUNCTION("IMPORTRANGE(""https://docs.google.com/spreadsheets/d/1KxicF4apzSqm0-jIpmueT4kyZtE-Cwn5zskl7GD4loQ/edit?usp=share_link"",""กำแพงเพชร!n154"")+IMPORTRANGE(""https://docs.google.com/spreadsheets/d/1ZNYWeiFoFA1K1U4xKWqRX29MBvEyRHXORjo734Gnq_c/edit?usp=share_li"&amp;"nk"",""เชียงราย!n154"")
+IMPORTRANGE(""https://docs.google.com/spreadsheets/d/1Jgv0Y7YlHDtsiDawwp-uvifEJ8HVaSn0k2aGHG8-hwM/edit?usp=share_link"",""เชียงใหม่!n154"")+IMPORTRANGE(""https://docs.google.com/spreadsheets/d/1JWG2rZePOz9pe-f-ObA-yDr0VoOX2kSb0qIi"&amp;"x2mTUo8/edit?usp=share_link"",""ตาก!n154"")+IMPORTRANGE(""https://docs.google.com/spreadsheets/d/10nSRjK08hx8Y6HgSOQKNw81lyY46Zc7U_Cj72hBMp9U/edit?usp=share_link"",""นครสวรรค์!n154"")+IMPORTRANGE(""https://docs.google.com/spreadsheets/d/1gFVb7qd7amutrIxAA"&amp;"oM7lcy35hllxznovot8lyOfvDo/edit?usp=share_link"",""น่าน!n154"")+IMPORTRANGE(""https://docs.google.com/spreadsheets/d/1K0Aa9s-6EuHE5M0FG1F9aHLXRCOV917xvycTdLdct0w/edit?usp=share_link"",""พะเยา!n154"")+IMPORTRANGE(""https://docs.google.com/spreadsheets/d/1Y"&amp;"9LPKx95PyL5OKy09d-KbKJSuuEZCFdkhYjwC0XQjBA/edit?usp=share_link"",""พิจิตร!n154"")+IMPORTRANGE(""https://docs.google.com/spreadsheets/d/16OMuOwy2eVqZcYWOouQtTpa8X1L23h4660uVHc0C8os/edit?usp=share_link"",""พิษณุโลก!n154"")+IMPORTRANGE(""https://docs.google."&amp;"com/spreadsheets/d/1GfgTldLG6k77HXaMQzaafODklYuucJZQNs_GAPEfZyY/edit?usp=share_link"",""เพชรบูรณ์!n154"")+IMPORTRANGE(""https://docs.google.com/spreadsheets/d/1gvTMYAnm7v1yG1BKWFtr0DnaTsq59oW9dwWvFgq6hs0/edit?usp=share_link"",""แพร่!n154"")+IMPORTRANGE("""&amp;"https://docs.google.com/spreadsheets/d/1Wbcosgy-Xa1xXUArJSOenub6EfZHUSzc_bpJFWwQUf0/edit?usp=share_link"",""แม่ฮ่องสอน!n154"")+IMPORTRANGE(""https://docs.google.com/spreadsheets/d/1p7ERhsr0qZeSn-KSOdeHS9r0heI-lHtkcn2OH7hP0jQ/edit?usp=share_link"",""ลำปาง!"&amp;"n154"")+IMPORTRANGE(""https://docs.google.com/spreadsheets/d/1-uUXvimVhiU2U0bMN-xi2te0tS4X7DI2GLPnMjzl8cA/edit?usp=share_link"",""ลำพูน!n154"")+IMPORTRANGE(""https://docs.google.com/spreadsheets/d/17HrOaa5pBUI1onckFfumXB8xlg35qb2uBAFfF1D-Myo/edit?usp=shar"&amp;"e_link"",""สุโขทัย!n154"")+IMPORTRANGE(""https://docs.google.com/spreadsheets/d/1ubs5cl16eYL9gHbdHTJtmtYb9MGzHBs7CAphn8kNCgM/edit?usp=share_link"",""อุตรดิตถ์!n154"")+IMPORTRANGE(""https://docs.google.com/spreadsheets/d/1kII0BjS6CtVrBvI8IrytgPdxDrlyQDyigz"&amp;"MsohRtDMs/edit?usp=share_link"",""อุทัยธานี!n154"")
"),127766.79)</f>
        <v>127766.79</v>
      </c>
      <c r="O154" s="45">
        <f t="shared" ca="1" si="97"/>
        <v>141.9631</v>
      </c>
      <c r="P154" s="45">
        <f t="shared" ca="1" si="98"/>
        <v>41.734758607173191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xicF4apzSqm0-jIpmueT4kyZtE-Cwn5zskl7GD4loQ/edit?usp=share_link"",""กำแพงเพชร!l157"")+IMPORTRANGE(""https://docs.google.com/spreadsheets/d/1ZNYWeiFoFA1K1U4xKWqRX29MBvEyRHXORjo734Gnq_c/edit?usp=share_li"&amp;"nk"",""เชียงราย!l157"")
+IMPORTRANGE(""https://docs.google.com/spreadsheets/d/1Jgv0Y7YlHDtsiDawwp-uvifEJ8HVaSn0k2aGHG8-hwM/edit?usp=share_link"",""เชียงใหม่!l157"")+IMPORTRANGE(""https://docs.google.com/spreadsheets/d/1JWG2rZePOz9pe-f-ObA-yDr0VoOX2kSb0qIi"&amp;"x2mTUo8/edit?usp=share_link"",""ตาก!l157"")+IMPORTRANGE(""https://docs.google.com/spreadsheets/d/10nSRjK08hx8Y6HgSOQKNw81lyY46Zc7U_Cj72hBMp9U/edit?usp=share_link"",""นครสวรรค์!l157"")+IMPORTRANGE(""https://docs.google.com/spreadsheets/d/1gFVb7qd7amutrIxAA"&amp;"oM7lcy35hllxznovot8lyOfvDo/edit?usp=share_link"",""น่าน!l157"")+IMPORTRANGE(""https://docs.google.com/spreadsheets/d/1K0Aa9s-6EuHE5M0FG1F9aHLXRCOV917xvycTdLdct0w/edit?usp=share_link"",""พะเยา!l157"")+IMPORTRANGE(""https://docs.google.com/spreadsheets/d/1Y"&amp;"9LPKx95PyL5OKy09d-KbKJSuuEZCFdkhYjwC0XQjBA/edit?usp=share_link"",""พิจิตร!l157"")+IMPORTRANGE(""https://docs.google.com/spreadsheets/d/16OMuOwy2eVqZcYWOouQtTpa8X1L23h4660uVHc0C8os/edit?usp=share_link"",""พิษณุโลก!l157"")+IMPORTRANGE(""https://docs.google."&amp;"com/spreadsheets/d/1GfgTldLG6k77HXaMQzaafODklYuucJZQNs_GAPEfZyY/edit?usp=share_link"",""เพชรบูรณ์!l157"")+IMPORTRANGE(""https://docs.google.com/spreadsheets/d/1gvTMYAnm7v1yG1BKWFtr0DnaTsq59oW9dwWvFgq6hs0/edit?usp=share_link"",""แพร่!l157"")+IMPORTRANGE("""&amp;"https://docs.google.com/spreadsheets/d/1Wbcosgy-Xa1xXUArJSOenub6EfZHUSzc_bpJFWwQUf0/edit?usp=share_link"",""แม่ฮ่องสอน!l157"")+IMPORTRANGE(""https://docs.google.com/spreadsheets/d/1p7ERhsr0qZeSn-KSOdeHS9r0heI-lHtkcn2OH7hP0jQ/edit?usp=share_link"",""ลำปาง!"&amp;"l157"")+IMPORTRANGE(""https://docs.google.com/spreadsheets/d/1-uUXvimVhiU2U0bMN-xi2te0tS4X7DI2GLPnMjzl8cA/edit?usp=share_link"",""ลำพูน!l157"")+IMPORTRANGE(""https://docs.google.com/spreadsheets/d/17HrOaa5pBUI1onckFfumXB8xlg35qb2uBAFfF1D-Myo/edit?usp=shar"&amp;"e_link"",""สุโขทัย!l157"")+IMPORTRANGE(""https://docs.google.com/spreadsheets/d/1ubs5cl16eYL9gHbdHTJtmtYb9MGzHBs7CAphn8kNCgM/edit?usp=share_link"",""อุตรดิตถ์!l157"")+IMPORTRANGE(""https://docs.google.com/spreadsheets/d/1kII0BjS6CtVrBvI8IrytgPdxDrlyQDyigz"&amp;"MsohRtDMs/edit?usp=share_link"",""อุทัยธานี!l157"")
"),0)</f>
        <v>0</v>
      </c>
      <c r="M157" s="45">
        <f ca="1">IFERROR(__xludf.DUMMYFUNCTION("IMPORTRANGE(""https://docs.google.com/spreadsheets/d/1KxicF4apzSqm0-jIpmueT4kyZtE-Cwn5zskl7GD4loQ/edit?usp=share_link"",""กำแพงเพชร!m157"")+IMPORTRANGE(""https://docs.google.com/spreadsheets/d/1ZNYWeiFoFA1K1U4xKWqRX29MBvEyRHXORjo734Gnq_c/edit?usp=share_li"&amp;"nk"",""เชียงราย!m157"")
+IMPORTRANGE(""https://docs.google.com/spreadsheets/d/1Jgv0Y7YlHDtsiDawwp-uvifEJ8HVaSn0k2aGHG8-hwM/edit?usp=share_link"",""เชียงใหม่!m157"")+IMPORTRANGE(""https://docs.google.com/spreadsheets/d/1JWG2rZePOz9pe-f-ObA-yDr0VoOX2kSb0qIi"&amp;"x2mTUo8/edit?usp=share_link"",""ตาก!m157"")+IMPORTRANGE(""https://docs.google.com/spreadsheets/d/10nSRjK08hx8Y6HgSOQKNw81lyY46Zc7U_Cj72hBMp9U/edit?usp=share_link"",""นครสวรรค์!m157"")+IMPORTRANGE(""https://docs.google.com/spreadsheets/d/1gFVb7qd7amutrIxAA"&amp;"oM7lcy35hllxznovot8lyOfvDo/edit?usp=share_link"",""น่าน!m157"")+IMPORTRANGE(""https://docs.google.com/spreadsheets/d/1K0Aa9s-6EuHE5M0FG1F9aHLXRCOV917xvycTdLdct0w/edit?usp=share_link"",""พะเยา!m157"")+IMPORTRANGE(""https://docs.google.com/spreadsheets/d/1Y"&amp;"9LPKx95PyL5OKy09d-KbKJSuuEZCFdkhYjwC0XQjBA/edit?usp=share_link"",""พิจิตร!m157"")+IMPORTRANGE(""https://docs.google.com/spreadsheets/d/16OMuOwy2eVqZcYWOouQtTpa8X1L23h4660uVHc0C8os/edit?usp=share_link"",""พิษณุโลก!m157"")+IMPORTRANGE(""https://docs.google."&amp;"com/spreadsheets/d/1GfgTldLG6k77HXaMQzaafODklYuucJZQNs_GAPEfZyY/edit?usp=share_link"",""เพชรบูรณ์!m157"")+IMPORTRANGE(""https://docs.google.com/spreadsheets/d/1gvTMYAnm7v1yG1BKWFtr0DnaTsq59oW9dwWvFgq6hs0/edit?usp=share_link"",""แพร่!m157"")+IMPORTRANGE("""&amp;"https://docs.google.com/spreadsheets/d/1Wbcosgy-Xa1xXUArJSOenub6EfZHUSzc_bpJFWwQUf0/edit?usp=share_link"",""แม่ฮ่องสอน!m157"")+IMPORTRANGE(""https://docs.google.com/spreadsheets/d/1p7ERhsr0qZeSn-KSOdeHS9r0heI-lHtkcn2OH7hP0jQ/edit?usp=share_link"",""ลำปาง!"&amp;"m157"")+IMPORTRANGE(""https://docs.google.com/spreadsheets/d/1-uUXvimVhiU2U0bMN-xi2te0tS4X7DI2GLPnMjzl8cA/edit?usp=share_link"",""ลำพูน!m157"")+IMPORTRANGE(""https://docs.google.com/spreadsheets/d/17HrOaa5pBUI1onckFfumXB8xlg35qb2uBAFfF1D-Myo/edit?usp=shar"&amp;"e_link"",""สุโขทัย!m157"")+IMPORTRANGE(""https://docs.google.com/spreadsheets/d/1ubs5cl16eYL9gHbdHTJtmtYb9MGzHBs7CAphn8kNCgM/edit?usp=share_link"",""อุตรดิตถ์!m157"")+IMPORTRANGE(""https://docs.google.com/spreadsheets/d/1kII0BjS6CtVrBvI8IrytgPdxDrlyQDyigz"&amp;"MsohRtDMs/edit?usp=share_link"",""อุทัยธานี!m157"")
"),0)</f>
        <v>0</v>
      </c>
      <c r="N157" s="45">
        <f ca="1">IFERROR(__xludf.DUMMYFUNCTION("IMPORTRANGE(""https://docs.google.com/spreadsheets/d/1KxicF4apzSqm0-jIpmueT4kyZtE-Cwn5zskl7GD4loQ/edit?usp=share_link"",""กำแพงเพชร!n157"")+IMPORTRANGE(""https://docs.google.com/spreadsheets/d/1ZNYWeiFoFA1K1U4xKWqRX29MBvEyRHXORjo734Gnq_c/edit?usp=share_li"&amp;"nk"",""เชียงราย!n157"")
+IMPORTRANGE(""https://docs.google.com/spreadsheets/d/1Jgv0Y7YlHDtsiDawwp-uvifEJ8HVaSn0k2aGHG8-hwM/edit?usp=share_link"",""เชียงใหม่!n157"")+IMPORTRANGE(""https://docs.google.com/spreadsheets/d/1JWG2rZePOz9pe-f-ObA-yDr0VoOX2kSb0qIi"&amp;"x2mTUo8/edit?usp=share_link"",""ตาก!n157"")+IMPORTRANGE(""https://docs.google.com/spreadsheets/d/10nSRjK08hx8Y6HgSOQKNw81lyY46Zc7U_Cj72hBMp9U/edit?usp=share_link"",""นครสวรรค์!n157"")+IMPORTRANGE(""https://docs.google.com/spreadsheets/d/1gFVb7qd7amutrIxAA"&amp;"oM7lcy35hllxznovot8lyOfvDo/edit?usp=share_link"",""น่าน!n157"")+IMPORTRANGE(""https://docs.google.com/spreadsheets/d/1K0Aa9s-6EuHE5M0FG1F9aHLXRCOV917xvycTdLdct0w/edit?usp=share_link"",""พะเยา!n157"")+IMPORTRANGE(""https://docs.google.com/spreadsheets/d/1Y"&amp;"9LPKx95PyL5OKy09d-KbKJSuuEZCFdkhYjwC0XQjBA/edit?usp=share_link"",""พิจิตร!n157"")+IMPORTRANGE(""https://docs.google.com/spreadsheets/d/16OMuOwy2eVqZcYWOouQtTpa8X1L23h4660uVHc0C8os/edit?usp=share_link"",""พิษณุโลก!n157"")+IMPORTRANGE(""https://docs.google."&amp;"com/spreadsheets/d/1GfgTldLG6k77HXaMQzaafODklYuucJZQNs_GAPEfZyY/edit?usp=share_link"",""เพชรบูรณ์!n157"")+IMPORTRANGE(""https://docs.google.com/spreadsheets/d/1gvTMYAnm7v1yG1BKWFtr0DnaTsq59oW9dwWvFgq6hs0/edit?usp=share_link"",""แพร่!n157"")+IMPORTRANGE("""&amp;"https://docs.google.com/spreadsheets/d/1Wbcosgy-Xa1xXUArJSOenub6EfZHUSzc_bpJFWwQUf0/edit?usp=share_link"",""แม่ฮ่องสอน!n157"")+IMPORTRANGE(""https://docs.google.com/spreadsheets/d/1p7ERhsr0qZeSn-KSOdeHS9r0heI-lHtkcn2OH7hP0jQ/edit?usp=share_link"",""ลำปาง!"&amp;"n157"")+IMPORTRANGE(""https://docs.google.com/spreadsheets/d/1-uUXvimVhiU2U0bMN-xi2te0tS4X7DI2GLPnMjzl8cA/edit?usp=share_link"",""ลำพูน!n157"")+IMPORTRANGE(""https://docs.google.com/spreadsheets/d/17HrOaa5pBUI1onckFfumXB8xlg35qb2uBAFfF1D-Myo/edit?usp=shar"&amp;"e_link"",""สุโขทัย!n157"")+IMPORTRANGE(""https://docs.google.com/spreadsheets/d/1ubs5cl16eYL9gHbdHTJtmtYb9MGzHBs7CAphn8kNCgM/edit?usp=share_link"",""อุตรดิตถ์!n157"")+IMPORTRANGE(""https://docs.google.com/spreadsheets/d/1kII0BjS6CtVrBvI8IrytgPdxDrlyQDyigz"&amp;"MsohRtDMs/edit?usp=share_link"",""อุทัยธานี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xicF4apzSqm0-jIpmueT4kyZtE-Cwn5zskl7GD4loQ/edit?usp=share_link"",""กำแพงเพชร!I159"")+IMPORTRANGE(""https://docs.google.com/spreadsheets/d/1ZNYWeiFoFA1K1U4xKWqRX29MBvEyRHXORjo734Gnq_c/edit?usp=share_li"&amp;"nk"",""เชียงราย!I159"")
+IMPORTRANGE(""https://docs.google.com/spreadsheets/d/1Jgv0Y7YlHDtsiDawwp-uvifEJ8HVaSn0k2aGHG8-hwM/edit?usp=share_link"",""เชียงใหม่!I159"")+IMPORTRANGE(""https://docs.google.com/spreadsheets/d/1JWG2rZePOz9pe-f-ObA-yDr0VoOX2kSb0qIi"&amp;"x2mTUo8/edit?usp=share_link"",""ตาก!I159"")+IMPORTRANGE(""https://docs.google.com/spreadsheets/d/10nSRjK08hx8Y6HgSOQKNw81lyY46Zc7U_Cj72hBMp9U/edit?usp=share_link"",""นครสวรรค์!I159"")+IMPORTRANGE(""https://docs.google.com/spreadsheets/d/1gFVb7qd7amutrIxAA"&amp;"oM7lcy35hllxznovot8lyOfvDo/edit?usp=share_link"",""น่าน!I159"")+IMPORTRANGE(""https://docs.google.com/spreadsheets/d/1K0Aa9s-6EuHE5M0FG1F9aHLXRCOV917xvycTdLdct0w/edit?usp=share_link"",""พะเยา!I159"")+IMPORTRANGE(""https://docs.google.com/spreadsheets/d/1Y"&amp;"9LPKx95PyL5OKy09d-KbKJSuuEZCFdkhYjwC0XQjBA/edit?usp=share_link"",""พิจิตร!I159"")+IMPORTRANGE(""https://docs.google.com/spreadsheets/d/16OMuOwy2eVqZcYWOouQtTpa8X1L23h4660uVHc0C8os/edit?usp=share_link"",""พิษณุโลก!I159"")+IMPORTRANGE(""https://docs.google."&amp;"com/spreadsheets/d/1GfgTldLG6k77HXaMQzaafODklYuucJZQNs_GAPEfZyY/edit?usp=share_link"",""เพชรบูรณ์!I159"")+IMPORTRANGE(""https://docs.google.com/spreadsheets/d/1gvTMYAnm7v1yG1BKWFtr0DnaTsq59oW9dwWvFgq6hs0/edit?usp=share_link"",""แพร่!I159"")+IMPORTRANGE("""&amp;"https://docs.google.com/spreadsheets/d/1Wbcosgy-Xa1xXUArJSOenub6EfZHUSzc_bpJFWwQUf0/edit?usp=share_link"",""แม่ฮ่องสอน!I159"")+IMPORTRANGE(""https://docs.google.com/spreadsheets/d/1p7ERhsr0qZeSn-KSOdeHS9r0heI-lHtkcn2OH7hP0jQ/edit?usp=share_link"",""ลำปาง!"&amp;"I159"")+IMPORTRANGE(""https://docs.google.com/spreadsheets/d/1-uUXvimVhiU2U0bMN-xi2te0tS4X7DI2GLPnMjzl8cA/edit?usp=share_link"",""ลำพูน!I159"")+IMPORTRANGE(""https://docs.google.com/spreadsheets/d/17HrOaa5pBUI1onckFfumXB8xlg35qb2uBAFfF1D-Myo/edit?usp=shar"&amp;"e_link"",""สุโขทัย!I159"")+IMPORTRANGE(""https://docs.google.com/spreadsheets/d/1ubs5cl16eYL9gHbdHTJtmtYb9MGzHBs7CAphn8kNCgM/edit?usp=share_link"",""อุตรดิตถ์!I159"")+IMPORTRANGE(""https://docs.google.com/spreadsheets/d/1kII0BjS6CtVrBvI8IrytgPdxDrlyQDyigz"&amp;"MsohRtDMs/edit?usp=share_link"",""อุทัยธานี!I159"")
"),180)</f>
        <v>180</v>
      </c>
      <c r="J159" s="183">
        <f ca="1">IFERROR(__xludf.DUMMYFUNCTION("IMPORTRANGE(""https://docs.google.com/spreadsheets/d/1KxicF4apzSqm0-jIpmueT4kyZtE-Cwn5zskl7GD4loQ/edit?usp=share_link"",""กำแพงเพชร!J159"")+IMPORTRANGE(""https://docs.google.com/spreadsheets/d/1ZNYWeiFoFA1K1U4xKWqRX29MBvEyRHXORjo734Gnq_c/edit?usp=share_li"&amp;"nk"",""เชียงราย!J159"")
+IMPORTRANGE(""https://docs.google.com/spreadsheets/d/1Jgv0Y7YlHDtsiDawwp-uvifEJ8HVaSn0k2aGHG8-hwM/edit?usp=share_link"",""เชียงใหม่!J159"")+IMPORTRANGE(""https://docs.google.com/spreadsheets/d/1JWG2rZePOz9pe-f-ObA-yDr0VoOX2kSb0qIi"&amp;"x2mTUo8/edit?usp=share_link"",""ตาก!J159"")+IMPORTRANGE(""https://docs.google.com/spreadsheets/d/10nSRjK08hx8Y6HgSOQKNw81lyY46Zc7U_Cj72hBMp9U/edit?usp=share_link"",""นครสวรรค์!J159"")+IMPORTRANGE(""https://docs.google.com/spreadsheets/d/1gFVb7qd7amutrIxAA"&amp;"oM7lcy35hllxznovot8lyOfvDo/edit?usp=share_link"",""น่าน!J159"")+IMPORTRANGE(""https://docs.google.com/spreadsheets/d/1K0Aa9s-6EuHE5M0FG1F9aHLXRCOV917xvycTdLdct0w/edit?usp=share_link"",""พะเยา!J159"")+IMPORTRANGE(""https://docs.google.com/spreadsheets/d/1Y"&amp;"9LPKx95PyL5OKy09d-KbKJSuuEZCFdkhYjwC0XQjBA/edit?usp=share_link"",""พิจิตร!J159"")+IMPORTRANGE(""https://docs.google.com/spreadsheets/d/16OMuOwy2eVqZcYWOouQtTpa8X1L23h4660uVHc0C8os/edit?usp=share_link"",""พิษณุโลก!J159"")+IMPORTRANGE(""https://docs.google."&amp;"com/spreadsheets/d/1GfgTldLG6k77HXaMQzaafODklYuucJZQNs_GAPEfZyY/edit?usp=share_link"",""เพชรบูรณ์!J159"")+IMPORTRANGE(""https://docs.google.com/spreadsheets/d/1gvTMYAnm7v1yG1BKWFtr0DnaTsq59oW9dwWvFgq6hs0/edit?usp=share_link"",""แพร่!J159"")+IMPORTRANGE("""&amp;"https://docs.google.com/spreadsheets/d/1Wbcosgy-Xa1xXUArJSOenub6EfZHUSzc_bpJFWwQUf0/edit?usp=share_link"",""แม่ฮ่องสอน!J159"")+IMPORTRANGE(""https://docs.google.com/spreadsheets/d/1p7ERhsr0qZeSn-KSOdeHS9r0heI-lHtkcn2OH7hP0jQ/edit?usp=share_link"",""ลำปาง!"&amp;"J159"")+IMPORTRANGE(""https://docs.google.com/spreadsheets/d/1-uUXvimVhiU2U0bMN-xi2te0tS4X7DI2GLPnMjzl8cA/edit?usp=share_link"",""ลำพูน!J159"")+IMPORTRANGE(""https://docs.google.com/spreadsheets/d/17HrOaa5pBUI1onckFfumXB8xlg35qb2uBAFfF1D-Myo/edit?usp=shar"&amp;"e_link"",""สุโขทัย!J159"")+IMPORTRANGE(""https://docs.google.com/spreadsheets/d/1ubs5cl16eYL9gHbdHTJtmtYb9MGzHBs7CAphn8kNCgM/edit?usp=share_link"",""อุตรดิตถ์!J159"")+IMPORTRANGE(""https://docs.google.com/spreadsheets/d/1kII0BjS6CtVrBvI8IrytgPdxDrlyQDyigz"&amp;"MsohRtDMs/edit?usp=share_link"",""อุทัยธานี!J159"")
"),145)</f>
        <v>145</v>
      </c>
      <c r="K159" s="38">
        <f ca="1">IF(I159&gt;0,J159*100/I159,0)</f>
        <v>80.555555555555557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3">I174+I177</f>
        <v>185</v>
      </c>
      <c r="J164" s="253">
        <f t="shared" ca="1" si="103"/>
        <v>153</v>
      </c>
      <c r="K164" s="254">
        <f ca="1">IF(I164&gt;0,J164*100/I164,0)</f>
        <v>82.702702702702709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372925</v>
      </c>
      <c r="M165" s="155">
        <f t="shared" ca="1" si="104"/>
        <v>657895</v>
      </c>
      <c r="N165" s="155">
        <f t="shared" ca="1" si="104"/>
        <v>326935</v>
      </c>
      <c r="O165" s="155">
        <f t="shared" ref="O165:O173" ca="1" si="105">IF(L165&gt;0,N165*100/L165,0)</f>
        <v>87.667761614265601</v>
      </c>
      <c r="P165" s="155">
        <f t="shared" ref="P165:P173" ca="1" si="106">IF(M165&gt;0,N165*100/M165,0)</f>
        <v>49.694100122359949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372925</v>
      </c>
      <c r="M167" s="45">
        <f t="shared" ca="1" si="108"/>
        <v>657895</v>
      </c>
      <c r="N167" s="45">
        <f t="shared" ca="1" si="108"/>
        <v>326935</v>
      </c>
      <c r="O167" s="45">
        <f t="shared" ca="1" si="105"/>
        <v>87.667761614265601</v>
      </c>
      <c r="P167" s="45">
        <f t="shared" ca="1" si="106"/>
        <v>49.694100122359949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372925</v>
      </c>
      <c r="M168" s="38">
        <f t="shared" ca="1" si="109"/>
        <v>657895</v>
      </c>
      <c r="N168" s="38">
        <f t="shared" ca="1" si="109"/>
        <v>326935</v>
      </c>
      <c r="O168" s="38">
        <f t="shared" ca="1" si="105"/>
        <v>87.667761614265601</v>
      </c>
      <c r="P168" s="38">
        <f t="shared" ca="1" si="106"/>
        <v>49.694100122359949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xicF4apzSqm0-jIpmueT4kyZtE-Cwn5zskl7GD4loQ/edit?usp=share_link"",""กำแพงเพชร!l170"")+IMPORTRANGE(""https://docs.google.com/spreadsheets/d/1ZNYWeiFoFA1K1U4xKWqRX29MBvEyRHXORjo734Gnq_c/edit?usp=share_li"&amp;"nk"",""เชียงราย!l170"")
+IMPORTRANGE(""https://docs.google.com/spreadsheets/d/1Jgv0Y7YlHDtsiDawwp-uvifEJ8HVaSn0k2aGHG8-hwM/edit?usp=share_link"",""เชียงใหม่!l170"")+IMPORTRANGE(""https://docs.google.com/spreadsheets/d/1JWG2rZePOz9pe-f-ObA-yDr0VoOX2kSb0qIi"&amp;"x2mTUo8/edit?usp=share_link"",""ตาก!l170"")+IMPORTRANGE(""https://docs.google.com/spreadsheets/d/10nSRjK08hx8Y6HgSOQKNw81lyY46Zc7U_Cj72hBMp9U/edit?usp=share_link"",""นครสวรรค์!l170"")+IMPORTRANGE(""https://docs.google.com/spreadsheets/d/1gFVb7qd7amutrIxAA"&amp;"oM7lcy35hllxznovot8lyOfvDo/edit?usp=share_link"",""น่าน!l170"")+IMPORTRANGE(""https://docs.google.com/spreadsheets/d/1K0Aa9s-6EuHE5M0FG1F9aHLXRCOV917xvycTdLdct0w/edit?usp=share_link"",""พะเยา!l170"")+IMPORTRANGE(""https://docs.google.com/spreadsheets/d/1Y"&amp;"9LPKx95PyL5OKy09d-KbKJSuuEZCFdkhYjwC0XQjBA/edit?usp=share_link"",""พิจิตร!l170"")+IMPORTRANGE(""https://docs.google.com/spreadsheets/d/16OMuOwy2eVqZcYWOouQtTpa8X1L23h4660uVHc0C8os/edit?usp=share_link"",""พิษณุโลก!l170"")+IMPORTRANGE(""https://docs.google."&amp;"com/spreadsheets/d/1GfgTldLG6k77HXaMQzaafODklYuucJZQNs_GAPEfZyY/edit?usp=share_link"",""เพชรบูรณ์!l170"")+IMPORTRANGE(""https://docs.google.com/spreadsheets/d/1gvTMYAnm7v1yG1BKWFtr0DnaTsq59oW9dwWvFgq6hs0/edit?usp=share_link"",""แพร่!l170"")+IMPORTRANGE("""&amp;"https://docs.google.com/spreadsheets/d/1Wbcosgy-Xa1xXUArJSOenub6EfZHUSzc_bpJFWwQUf0/edit?usp=share_link"",""แม่ฮ่องสอน!l170"")+IMPORTRANGE(""https://docs.google.com/spreadsheets/d/1p7ERhsr0qZeSn-KSOdeHS9r0heI-lHtkcn2OH7hP0jQ/edit?usp=share_link"",""ลำปาง!"&amp;"l170"")+IMPORTRANGE(""https://docs.google.com/spreadsheets/d/1-uUXvimVhiU2U0bMN-xi2te0tS4X7DI2GLPnMjzl8cA/edit?usp=share_link"",""ลำพูน!l170"")+IMPORTRANGE(""https://docs.google.com/spreadsheets/d/17HrOaa5pBUI1onckFfumXB8xlg35qb2uBAFfF1D-Myo/edit?usp=shar"&amp;"e_link"",""สุโขทัย!l170"")+IMPORTRANGE(""https://docs.google.com/spreadsheets/d/1ubs5cl16eYL9gHbdHTJtmtYb9MGzHBs7CAphn8kNCgM/edit?usp=share_link"",""อุตรดิตถ์!l170"")+IMPORTRANGE(""https://docs.google.com/spreadsheets/d/1kII0BjS6CtVrBvI8IrytgPdxDrlyQDyigz"&amp;"MsohRtDMs/edit?usp=share_link"",""อุทัยธานี!l170"")
"),372925)</f>
        <v>372925</v>
      </c>
      <c r="M170" s="45">
        <f ca="1">IFERROR(__xludf.DUMMYFUNCTION("IMPORTRANGE(""https://docs.google.com/spreadsheets/d/1KxicF4apzSqm0-jIpmueT4kyZtE-Cwn5zskl7GD4loQ/edit?usp=share_link"",""กำแพงเพชร!m170"")+IMPORTRANGE(""https://docs.google.com/spreadsheets/d/1ZNYWeiFoFA1K1U4xKWqRX29MBvEyRHXORjo734Gnq_c/edit?usp=share_li"&amp;"nk"",""เชียงราย!m170"")
+IMPORTRANGE(""https://docs.google.com/spreadsheets/d/1Jgv0Y7YlHDtsiDawwp-uvifEJ8HVaSn0k2aGHG8-hwM/edit?usp=share_link"",""เชียงใหม่!m170"")+IMPORTRANGE(""https://docs.google.com/spreadsheets/d/1JWG2rZePOz9pe-f-ObA-yDr0VoOX2kSb0qIi"&amp;"x2mTUo8/edit?usp=share_link"",""ตาก!m170"")+IMPORTRANGE(""https://docs.google.com/spreadsheets/d/10nSRjK08hx8Y6HgSOQKNw81lyY46Zc7U_Cj72hBMp9U/edit?usp=share_link"",""นครสวรรค์!m170"")+IMPORTRANGE(""https://docs.google.com/spreadsheets/d/1gFVb7qd7amutrIxAA"&amp;"oM7lcy35hllxznovot8lyOfvDo/edit?usp=share_link"",""น่าน!m170"")+IMPORTRANGE(""https://docs.google.com/spreadsheets/d/1K0Aa9s-6EuHE5M0FG1F9aHLXRCOV917xvycTdLdct0w/edit?usp=share_link"",""พะเยา!m170"")+IMPORTRANGE(""https://docs.google.com/spreadsheets/d/1Y"&amp;"9LPKx95PyL5OKy09d-KbKJSuuEZCFdkhYjwC0XQjBA/edit?usp=share_link"",""พิจิตร!m170"")+IMPORTRANGE(""https://docs.google.com/spreadsheets/d/16OMuOwy2eVqZcYWOouQtTpa8X1L23h4660uVHc0C8os/edit?usp=share_link"",""พิษณุโลก!m170"")+IMPORTRANGE(""https://docs.google."&amp;"com/spreadsheets/d/1GfgTldLG6k77HXaMQzaafODklYuucJZQNs_GAPEfZyY/edit?usp=share_link"",""เพชรบูรณ์!m170"")+IMPORTRANGE(""https://docs.google.com/spreadsheets/d/1gvTMYAnm7v1yG1BKWFtr0DnaTsq59oW9dwWvFgq6hs0/edit?usp=share_link"",""แพร่!m170"")+IMPORTRANGE("""&amp;"https://docs.google.com/spreadsheets/d/1Wbcosgy-Xa1xXUArJSOenub6EfZHUSzc_bpJFWwQUf0/edit?usp=share_link"",""แม่ฮ่องสอน!m170"")+IMPORTRANGE(""https://docs.google.com/spreadsheets/d/1p7ERhsr0qZeSn-KSOdeHS9r0heI-lHtkcn2OH7hP0jQ/edit?usp=share_link"",""ลำปาง!"&amp;"m170"")+IMPORTRANGE(""https://docs.google.com/spreadsheets/d/1-uUXvimVhiU2U0bMN-xi2te0tS4X7DI2GLPnMjzl8cA/edit?usp=share_link"",""ลำพูน!m170"")+IMPORTRANGE(""https://docs.google.com/spreadsheets/d/17HrOaa5pBUI1onckFfumXB8xlg35qb2uBAFfF1D-Myo/edit?usp=shar"&amp;"e_link"",""สุโขทัย!m170"")+IMPORTRANGE(""https://docs.google.com/spreadsheets/d/1ubs5cl16eYL9gHbdHTJtmtYb9MGzHBs7CAphn8kNCgM/edit?usp=share_link"",""อุตรดิตถ์!m170"")+IMPORTRANGE(""https://docs.google.com/spreadsheets/d/1kII0BjS6CtVrBvI8IrytgPdxDrlyQDyigz"&amp;"MsohRtDMs/edit?usp=share_link"",""อุทัยธานี!m170"")
"),657895)</f>
        <v>657895</v>
      </c>
      <c r="N170" s="45">
        <f ca="1">IFERROR(__xludf.DUMMYFUNCTION("IMPORTRANGE(""https://docs.google.com/spreadsheets/d/1KxicF4apzSqm0-jIpmueT4kyZtE-Cwn5zskl7GD4loQ/edit?usp=share_link"",""กำแพงเพชร!n170"")+IMPORTRANGE(""https://docs.google.com/spreadsheets/d/1ZNYWeiFoFA1K1U4xKWqRX29MBvEyRHXORjo734Gnq_c/edit?usp=share_li"&amp;"nk"",""เชียงราย!n170"")
+IMPORTRANGE(""https://docs.google.com/spreadsheets/d/1Jgv0Y7YlHDtsiDawwp-uvifEJ8HVaSn0k2aGHG8-hwM/edit?usp=share_link"",""เชียงใหม่!n170"")+IMPORTRANGE(""https://docs.google.com/spreadsheets/d/1JWG2rZePOz9pe-f-ObA-yDr0VoOX2kSb0qIi"&amp;"x2mTUo8/edit?usp=share_link"",""ตาก!n170"")+IMPORTRANGE(""https://docs.google.com/spreadsheets/d/10nSRjK08hx8Y6HgSOQKNw81lyY46Zc7U_Cj72hBMp9U/edit?usp=share_link"",""นครสวรรค์!n170"")+IMPORTRANGE(""https://docs.google.com/spreadsheets/d/1gFVb7qd7amutrIxAA"&amp;"oM7lcy35hllxznovot8lyOfvDo/edit?usp=share_link"",""น่าน!n170"")+IMPORTRANGE(""https://docs.google.com/spreadsheets/d/1K0Aa9s-6EuHE5M0FG1F9aHLXRCOV917xvycTdLdct0w/edit?usp=share_link"",""พะเยา!n170"")+IMPORTRANGE(""https://docs.google.com/spreadsheets/d/1Y"&amp;"9LPKx95PyL5OKy09d-KbKJSuuEZCFdkhYjwC0XQjBA/edit?usp=share_link"",""พิจิตร!n170"")+IMPORTRANGE(""https://docs.google.com/spreadsheets/d/16OMuOwy2eVqZcYWOouQtTpa8X1L23h4660uVHc0C8os/edit?usp=share_link"",""พิษณุโลก!n170"")+IMPORTRANGE(""https://docs.google."&amp;"com/spreadsheets/d/1GfgTldLG6k77HXaMQzaafODklYuucJZQNs_GAPEfZyY/edit?usp=share_link"",""เพชรบูรณ์!n170"")+IMPORTRANGE(""https://docs.google.com/spreadsheets/d/1gvTMYAnm7v1yG1BKWFtr0DnaTsq59oW9dwWvFgq6hs0/edit?usp=share_link"",""แพร่!n170"")+IMPORTRANGE("""&amp;"https://docs.google.com/spreadsheets/d/1Wbcosgy-Xa1xXUArJSOenub6EfZHUSzc_bpJFWwQUf0/edit?usp=share_link"",""แม่ฮ่องสอน!n170"")+IMPORTRANGE(""https://docs.google.com/spreadsheets/d/1p7ERhsr0qZeSn-KSOdeHS9r0heI-lHtkcn2OH7hP0jQ/edit?usp=share_link"",""ลำปาง!"&amp;"n170"")+IMPORTRANGE(""https://docs.google.com/spreadsheets/d/1-uUXvimVhiU2U0bMN-xi2te0tS4X7DI2GLPnMjzl8cA/edit?usp=share_link"",""ลำพูน!n170"")+IMPORTRANGE(""https://docs.google.com/spreadsheets/d/17HrOaa5pBUI1onckFfumXB8xlg35qb2uBAFfF1D-Myo/edit?usp=shar"&amp;"e_link"",""สุโขทัย!n170"")+IMPORTRANGE(""https://docs.google.com/spreadsheets/d/1ubs5cl16eYL9gHbdHTJtmtYb9MGzHBs7CAphn8kNCgM/edit?usp=share_link"",""อุตรดิตถ์!n170"")+IMPORTRANGE(""https://docs.google.com/spreadsheets/d/1kII0BjS6CtVrBvI8IrytgPdxDrlyQDyigz"&amp;"MsohRtDMs/edit?usp=share_link"",""อุทัยธานี!n170"")
"),326935)</f>
        <v>326935</v>
      </c>
      <c r="O170" s="45">
        <f t="shared" ca="1" si="105"/>
        <v>87.667761614265601</v>
      </c>
      <c r="P170" s="45">
        <f t="shared" ca="1" si="106"/>
        <v>49.694100122359949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xicF4apzSqm0-jIpmueT4kyZtE-Cwn5zskl7GD4loQ/edit?usp=share_link"",""กำแพงเพชร!l173"")+IMPORTRANGE(""https://docs.google.com/spreadsheets/d/1ZNYWeiFoFA1K1U4xKWqRX29MBvEyRHXORjo734Gnq_c/edit?usp=share_li"&amp;"nk"",""เชียงราย!l173"")
+IMPORTRANGE(""https://docs.google.com/spreadsheets/d/1Jgv0Y7YlHDtsiDawwp-uvifEJ8HVaSn0k2aGHG8-hwM/edit?usp=share_link"",""เชียงใหม่!l173"")+IMPORTRANGE(""https://docs.google.com/spreadsheets/d/1JWG2rZePOz9pe-f-ObA-yDr0VoOX2kSb0qIi"&amp;"x2mTUo8/edit?usp=share_link"",""ตาก!l173"")+IMPORTRANGE(""https://docs.google.com/spreadsheets/d/10nSRjK08hx8Y6HgSOQKNw81lyY46Zc7U_Cj72hBMp9U/edit?usp=share_link"",""นครสวรรค์!l173"")+IMPORTRANGE(""https://docs.google.com/spreadsheets/d/1gFVb7qd7amutrIxAA"&amp;"oM7lcy35hllxznovot8lyOfvDo/edit?usp=share_link"",""น่าน!l173"")+IMPORTRANGE(""https://docs.google.com/spreadsheets/d/1K0Aa9s-6EuHE5M0FG1F9aHLXRCOV917xvycTdLdct0w/edit?usp=share_link"",""พะเยา!l173"")+IMPORTRANGE(""https://docs.google.com/spreadsheets/d/1Y"&amp;"9LPKx95PyL5OKy09d-KbKJSuuEZCFdkhYjwC0XQjBA/edit?usp=share_link"",""พิจิตร!l173"")+IMPORTRANGE(""https://docs.google.com/spreadsheets/d/16OMuOwy2eVqZcYWOouQtTpa8X1L23h4660uVHc0C8os/edit?usp=share_link"",""พิษณุโลก!l173"")+IMPORTRANGE(""https://docs.google."&amp;"com/spreadsheets/d/1GfgTldLG6k77HXaMQzaafODklYuucJZQNs_GAPEfZyY/edit?usp=share_link"",""เพชรบูรณ์!l173"")+IMPORTRANGE(""https://docs.google.com/spreadsheets/d/1gvTMYAnm7v1yG1BKWFtr0DnaTsq59oW9dwWvFgq6hs0/edit?usp=share_link"",""แพร่!l173"")+IMPORTRANGE("""&amp;"https://docs.google.com/spreadsheets/d/1Wbcosgy-Xa1xXUArJSOenub6EfZHUSzc_bpJFWwQUf0/edit?usp=share_link"",""แม่ฮ่องสอน!l173"")+IMPORTRANGE(""https://docs.google.com/spreadsheets/d/1p7ERhsr0qZeSn-KSOdeHS9r0heI-lHtkcn2OH7hP0jQ/edit?usp=share_link"",""ลำปาง!"&amp;"l173"")+IMPORTRANGE(""https://docs.google.com/spreadsheets/d/1-uUXvimVhiU2U0bMN-xi2te0tS4X7DI2GLPnMjzl8cA/edit?usp=share_link"",""ลำพูน!l173"")+IMPORTRANGE(""https://docs.google.com/spreadsheets/d/17HrOaa5pBUI1onckFfumXB8xlg35qb2uBAFfF1D-Myo/edit?usp=shar"&amp;"e_link"",""สุโขทัย!l173"")+IMPORTRANGE(""https://docs.google.com/spreadsheets/d/1ubs5cl16eYL9gHbdHTJtmtYb9MGzHBs7CAphn8kNCgM/edit?usp=share_link"",""อุตรดิตถ์!l173"")+IMPORTRANGE(""https://docs.google.com/spreadsheets/d/1kII0BjS6CtVrBvI8IrytgPdxDrlyQDyigz"&amp;"MsohRtDMs/edit?usp=share_link"",""อุทัยธานี!l173"")
"),0)</f>
        <v>0</v>
      </c>
      <c r="M173" s="45">
        <f ca="1">IFERROR(__xludf.DUMMYFUNCTION("IMPORTRANGE(""https://docs.google.com/spreadsheets/d/1KxicF4apzSqm0-jIpmueT4kyZtE-Cwn5zskl7GD4loQ/edit?usp=share_link"",""กำแพงเพชร!m173"")+IMPORTRANGE(""https://docs.google.com/spreadsheets/d/1ZNYWeiFoFA1K1U4xKWqRX29MBvEyRHXORjo734Gnq_c/edit?usp=share_li"&amp;"nk"",""เชียงราย!m173"")
+IMPORTRANGE(""https://docs.google.com/spreadsheets/d/1Jgv0Y7YlHDtsiDawwp-uvifEJ8HVaSn0k2aGHG8-hwM/edit?usp=share_link"",""เชียงใหม่!m173"")+IMPORTRANGE(""https://docs.google.com/spreadsheets/d/1JWG2rZePOz9pe-f-ObA-yDr0VoOX2kSb0qIi"&amp;"x2mTUo8/edit?usp=share_link"",""ตาก!m173"")+IMPORTRANGE(""https://docs.google.com/spreadsheets/d/10nSRjK08hx8Y6HgSOQKNw81lyY46Zc7U_Cj72hBMp9U/edit?usp=share_link"",""นครสวรรค์!m173"")+IMPORTRANGE(""https://docs.google.com/spreadsheets/d/1gFVb7qd7amutrIxAA"&amp;"oM7lcy35hllxznovot8lyOfvDo/edit?usp=share_link"",""น่าน!m173"")+IMPORTRANGE(""https://docs.google.com/spreadsheets/d/1K0Aa9s-6EuHE5M0FG1F9aHLXRCOV917xvycTdLdct0w/edit?usp=share_link"",""พะเยา!m173"")+IMPORTRANGE(""https://docs.google.com/spreadsheets/d/1Y"&amp;"9LPKx95PyL5OKy09d-KbKJSuuEZCFdkhYjwC0XQjBA/edit?usp=share_link"",""พิจิตร!m173"")+IMPORTRANGE(""https://docs.google.com/spreadsheets/d/16OMuOwy2eVqZcYWOouQtTpa8X1L23h4660uVHc0C8os/edit?usp=share_link"",""พิษณุโลก!m173"")+IMPORTRANGE(""https://docs.google."&amp;"com/spreadsheets/d/1GfgTldLG6k77HXaMQzaafODklYuucJZQNs_GAPEfZyY/edit?usp=share_link"",""เพชรบูรณ์!m173"")+IMPORTRANGE(""https://docs.google.com/spreadsheets/d/1gvTMYAnm7v1yG1BKWFtr0DnaTsq59oW9dwWvFgq6hs0/edit?usp=share_link"",""แพร่!m173"")+IMPORTRANGE("""&amp;"https://docs.google.com/spreadsheets/d/1Wbcosgy-Xa1xXUArJSOenub6EfZHUSzc_bpJFWwQUf0/edit?usp=share_link"",""แม่ฮ่องสอน!m173"")+IMPORTRANGE(""https://docs.google.com/spreadsheets/d/1p7ERhsr0qZeSn-KSOdeHS9r0heI-lHtkcn2OH7hP0jQ/edit?usp=share_link"",""ลำปาง!"&amp;"m173"")+IMPORTRANGE(""https://docs.google.com/spreadsheets/d/1-uUXvimVhiU2U0bMN-xi2te0tS4X7DI2GLPnMjzl8cA/edit?usp=share_link"",""ลำพูน!m173"")+IMPORTRANGE(""https://docs.google.com/spreadsheets/d/17HrOaa5pBUI1onckFfumXB8xlg35qb2uBAFfF1D-Myo/edit?usp=shar"&amp;"e_link"",""สุโขทัย!m173"")+IMPORTRANGE(""https://docs.google.com/spreadsheets/d/1ubs5cl16eYL9gHbdHTJtmtYb9MGzHBs7CAphn8kNCgM/edit?usp=share_link"",""อุตรดิตถ์!m173"")+IMPORTRANGE(""https://docs.google.com/spreadsheets/d/1kII0BjS6CtVrBvI8IrytgPdxDrlyQDyigz"&amp;"MsohRtDMs/edit?usp=share_link"",""อุทัยธานี!m173"")
"),0)</f>
        <v>0</v>
      </c>
      <c r="N173" s="45">
        <f ca="1">IFERROR(__xludf.DUMMYFUNCTION("IMPORTRANGE(""https://docs.google.com/spreadsheets/d/1KxicF4apzSqm0-jIpmueT4kyZtE-Cwn5zskl7GD4loQ/edit?usp=share_link"",""กำแพงเพชร!n173"")+IMPORTRANGE(""https://docs.google.com/spreadsheets/d/1ZNYWeiFoFA1K1U4xKWqRX29MBvEyRHXORjo734Gnq_c/edit?usp=share_li"&amp;"nk"",""เชียงราย!n173"")
+IMPORTRANGE(""https://docs.google.com/spreadsheets/d/1Jgv0Y7YlHDtsiDawwp-uvifEJ8HVaSn0k2aGHG8-hwM/edit?usp=share_link"",""เชียงใหม่!n173"")+IMPORTRANGE(""https://docs.google.com/spreadsheets/d/1JWG2rZePOz9pe-f-ObA-yDr0VoOX2kSb0qIi"&amp;"x2mTUo8/edit?usp=share_link"",""ตาก!n173"")+IMPORTRANGE(""https://docs.google.com/spreadsheets/d/10nSRjK08hx8Y6HgSOQKNw81lyY46Zc7U_Cj72hBMp9U/edit?usp=share_link"",""นครสวรรค์!n173"")+IMPORTRANGE(""https://docs.google.com/spreadsheets/d/1gFVb7qd7amutrIxAA"&amp;"oM7lcy35hllxznovot8lyOfvDo/edit?usp=share_link"",""น่าน!n173"")+IMPORTRANGE(""https://docs.google.com/spreadsheets/d/1K0Aa9s-6EuHE5M0FG1F9aHLXRCOV917xvycTdLdct0w/edit?usp=share_link"",""พะเยา!n173"")+IMPORTRANGE(""https://docs.google.com/spreadsheets/d/1Y"&amp;"9LPKx95PyL5OKy09d-KbKJSuuEZCFdkhYjwC0XQjBA/edit?usp=share_link"",""พิจิตร!n173"")+IMPORTRANGE(""https://docs.google.com/spreadsheets/d/16OMuOwy2eVqZcYWOouQtTpa8X1L23h4660uVHc0C8os/edit?usp=share_link"",""พิษณุโลก!n173"")+IMPORTRANGE(""https://docs.google."&amp;"com/spreadsheets/d/1GfgTldLG6k77HXaMQzaafODklYuucJZQNs_GAPEfZyY/edit?usp=share_link"",""เพชรบูรณ์!n173"")+IMPORTRANGE(""https://docs.google.com/spreadsheets/d/1gvTMYAnm7v1yG1BKWFtr0DnaTsq59oW9dwWvFgq6hs0/edit?usp=share_link"",""แพร่!n173"")+IMPORTRANGE("""&amp;"https://docs.google.com/spreadsheets/d/1Wbcosgy-Xa1xXUArJSOenub6EfZHUSzc_bpJFWwQUf0/edit?usp=share_link"",""แม่ฮ่องสอน!n173"")+IMPORTRANGE(""https://docs.google.com/spreadsheets/d/1p7ERhsr0qZeSn-KSOdeHS9r0heI-lHtkcn2OH7hP0jQ/edit?usp=share_link"",""ลำปาง!"&amp;"n173"")+IMPORTRANGE(""https://docs.google.com/spreadsheets/d/1-uUXvimVhiU2U0bMN-xi2te0tS4X7DI2GLPnMjzl8cA/edit?usp=share_link"",""ลำพูน!n173"")+IMPORTRANGE(""https://docs.google.com/spreadsheets/d/17HrOaa5pBUI1onckFfumXB8xlg35qb2uBAFfF1D-Myo/edit?usp=shar"&amp;"e_link"",""สุโขทัย!n173"")+IMPORTRANGE(""https://docs.google.com/spreadsheets/d/1ubs5cl16eYL9gHbdHTJtmtYb9MGzHBs7CAphn8kNCgM/edit?usp=share_link"",""อุตรดิตถ์!n173"")+IMPORTRANGE(""https://docs.google.com/spreadsheets/d/1kII0BjS6CtVrBvI8IrytgPdxDrlyQDyigz"&amp;"MsohRtDMs/edit?usp=share_link"",""อุทัยธานี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1">I176</f>
        <v>185</v>
      </c>
      <c r="J174" s="261">
        <f t="shared" ca="1" si="111"/>
        <v>153</v>
      </c>
      <c r="K174" s="262">
        <f ca="1">IF(I174&gt;0,J174*100/I174,0)</f>
        <v>82.702702702702709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xicF4apzSqm0-jIpmueT4kyZtE-Cwn5zskl7GD4loQ/edit?usp=share_link"",""กำแพงเพชร!I176"")+IMPORTRANGE(""https://docs.google.com/spreadsheets/d/1ZNYWeiFoFA1K1U4xKWqRX29MBvEyRHXORjo734Gnq_c/edit?usp=share_li"&amp;"nk"",""เชียงราย!I176"")
+IMPORTRANGE(""https://docs.google.com/spreadsheets/d/1Jgv0Y7YlHDtsiDawwp-uvifEJ8HVaSn0k2aGHG8-hwM/edit?usp=share_link"",""เชียงใหม่!I176"")+IMPORTRANGE(""https://docs.google.com/spreadsheets/d/1JWG2rZePOz9pe-f-ObA-yDr0VoOX2kSb0qIi"&amp;"x2mTUo8/edit?usp=share_link"",""ตาก!I176"")+IMPORTRANGE(""https://docs.google.com/spreadsheets/d/10nSRjK08hx8Y6HgSOQKNw81lyY46Zc7U_Cj72hBMp9U/edit?usp=share_link"",""นครสวรรค์!I176"")+IMPORTRANGE(""https://docs.google.com/spreadsheets/d/1gFVb7qd7amutrIxAA"&amp;"oM7lcy35hllxznovot8lyOfvDo/edit?usp=share_link"",""น่าน!I176"")+IMPORTRANGE(""https://docs.google.com/spreadsheets/d/1K0Aa9s-6EuHE5M0FG1F9aHLXRCOV917xvycTdLdct0w/edit?usp=share_link"",""พะเยา!I176"")+IMPORTRANGE(""https://docs.google.com/spreadsheets/d/1Y"&amp;"9LPKx95PyL5OKy09d-KbKJSuuEZCFdkhYjwC0XQjBA/edit?usp=share_link"",""พิจิตร!I176"")+IMPORTRANGE(""https://docs.google.com/spreadsheets/d/16OMuOwy2eVqZcYWOouQtTpa8X1L23h4660uVHc0C8os/edit?usp=share_link"",""พิษณุโลก!I176"")+IMPORTRANGE(""https://docs.google."&amp;"com/spreadsheets/d/1GfgTldLG6k77HXaMQzaafODklYuucJZQNs_GAPEfZyY/edit?usp=share_link"",""เพชรบูรณ์!I176"")+IMPORTRANGE(""https://docs.google.com/spreadsheets/d/1gvTMYAnm7v1yG1BKWFtr0DnaTsq59oW9dwWvFgq6hs0/edit?usp=share_link"",""แพร่!I176"")+IMPORTRANGE("""&amp;"https://docs.google.com/spreadsheets/d/1Wbcosgy-Xa1xXUArJSOenub6EfZHUSzc_bpJFWwQUf0/edit?usp=share_link"",""แม่ฮ่องสอน!I176"")+IMPORTRANGE(""https://docs.google.com/spreadsheets/d/1p7ERhsr0qZeSn-KSOdeHS9r0heI-lHtkcn2OH7hP0jQ/edit?usp=share_link"",""ลำปาง!"&amp;"I176"")+IMPORTRANGE(""https://docs.google.com/spreadsheets/d/1-uUXvimVhiU2U0bMN-xi2te0tS4X7DI2GLPnMjzl8cA/edit?usp=share_link"",""ลำพูน!I176"")+IMPORTRANGE(""https://docs.google.com/spreadsheets/d/17HrOaa5pBUI1onckFfumXB8xlg35qb2uBAFfF1D-Myo/edit?usp=shar"&amp;"e_link"",""สุโขทัย!I176"")+IMPORTRANGE(""https://docs.google.com/spreadsheets/d/1ubs5cl16eYL9gHbdHTJtmtYb9MGzHBs7CAphn8kNCgM/edit?usp=share_link"",""อุตรดิตถ์!I176"")+IMPORTRANGE(""https://docs.google.com/spreadsheets/d/1kII0BjS6CtVrBvI8IrytgPdxDrlyQDyigz"&amp;"MsohRtDMs/edit?usp=share_link"",""อุทัยธานี!I176"")
"),185)</f>
        <v>185</v>
      </c>
      <c r="J176" s="183">
        <f ca="1">IFERROR(__xludf.DUMMYFUNCTION("IMPORTRANGE(""https://docs.google.com/spreadsheets/d/1KxicF4apzSqm0-jIpmueT4kyZtE-Cwn5zskl7GD4loQ/edit?usp=share_link"",""กำแพงเพชร!J176"")+IMPORTRANGE(""https://docs.google.com/spreadsheets/d/1ZNYWeiFoFA1K1U4xKWqRX29MBvEyRHXORjo734Gnq_c/edit?usp=share_li"&amp;"nk"",""เชียงราย!J176"")
+IMPORTRANGE(""https://docs.google.com/spreadsheets/d/1Jgv0Y7YlHDtsiDawwp-uvifEJ8HVaSn0k2aGHG8-hwM/edit?usp=share_link"",""เชียงใหม่!J176"")+IMPORTRANGE(""https://docs.google.com/spreadsheets/d/1JWG2rZePOz9pe-f-ObA-yDr0VoOX2kSb0qIi"&amp;"x2mTUo8/edit?usp=share_link"",""ตาก!J176"")+IMPORTRANGE(""https://docs.google.com/spreadsheets/d/10nSRjK08hx8Y6HgSOQKNw81lyY46Zc7U_Cj72hBMp9U/edit?usp=share_link"",""นครสวรรค์!J176"")+IMPORTRANGE(""https://docs.google.com/spreadsheets/d/1gFVb7qd7amutrIxAA"&amp;"oM7lcy35hllxznovot8lyOfvDo/edit?usp=share_link"",""น่าน!J176"")+IMPORTRANGE(""https://docs.google.com/spreadsheets/d/1K0Aa9s-6EuHE5M0FG1F9aHLXRCOV917xvycTdLdct0w/edit?usp=share_link"",""พะเยา!J176"")+IMPORTRANGE(""https://docs.google.com/spreadsheets/d/1Y"&amp;"9LPKx95PyL5OKy09d-KbKJSuuEZCFdkhYjwC0XQjBA/edit?usp=share_link"",""พิจิตร!J176"")+IMPORTRANGE(""https://docs.google.com/spreadsheets/d/16OMuOwy2eVqZcYWOouQtTpa8X1L23h4660uVHc0C8os/edit?usp=share_link"",""พิษณุโลก!J176"")+IMPORTRANGE(""https://docs.google."&amp;"com/spreadsheets/d/1GfgTldLG6k77HXaMQzaafODklYuucJZQNs_GAPEfZyY/edit?usp=share_link"",""เพชรบูรณ์!J176"")+IMPORTRANGE(""https://docs.google.com/spreadsheets/d/1gvTMYAnm7v1yG1BKWFtr0DnaTsq59oW9dwWvFgq6hs0/edit?usp=share_link"",""แพร่!J176"")+IMPORTRANGE("""&amp;"https://docs.google.com/spreadsheets/d/1Wbcosgy-Xa1xXUArJSOenub6EfZHUSzc_bpJFWwQUf0/edit?usp=share_link"",""แม่ฮ่องสอน!J176"")+IMPORTRANGE(""https://docs.google.com/spreadsheets/d/1p7ERhsr0qZeSn-KSOdeHS9r0heI-lHtkcn2OH7hP0jQ/edit?usp=share_link"",""ลำปาง!"&amp;"J176"")+IMPORTRANGE(""https://docs.google.com/spreadsheets/d/1-uUXvimVhiU2U0bMN-xi2te0tS4X7DI2GLPnMjzl8cA/edit?usp=share_link"",""ลำพูน!J176"")+IMPORTRANGE(""https://docs.google.com/spreadsheets/d/17HrOaa5pBUI1onckFfumXB8xlg35qb2uBAFfF1D-Myo/edit?usp=shar"&amp;"e_link"",""สุโขทัย!J176"")+IMPORTRANGE(""https://docs.google.com/spreadsheets/d/1ubs5cl16eYL9gHbdHTJtmtYb9MGzHBs7CAphn8kNCgM/edit?usp=share_link"",""อุตรดิตถ์!J176"")+IMPORTRANGE(""https://docs.google.com/spreadsheets/d/1kII0BjS6CtVrBvI8IrytgPdxDrlyQDyigz"&amp;"MsohRtDMs/edit?usp=share_link"",""อุทัยธานี!J176"")
"),153)</f>
        <v>153</v>
      </c>
      <c r="K176" s="163">
        <f ca="1">IF(I176&gt;0,J176*100/I176,0)</f>
        <v>82.702702702702709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2">I225+I226</f>
        <v>360</v>
      </c>
      <c r="J180" s="253">
        <f t="shared" ca="1" si="112"/>
        <v>300</v>
      </c>
      <c r="K180" s="254">
        <f ca="1">IF(I180&gt;0,J180*100/I180,0)</f>
        <v>83.333333333333329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4729330</v>
      </c>
      <c r="M181" s="155">
        <f t="shared" ca="1" si="113"/>
        <v>3684305</v>
      </c>
      <c r="N181" s="155">
        <f t="shared" ca="1" si="113"/>
        <v>1925760.3</v>
      </c>
      <c r="O181" s="155">
        <f t="shared" ref="O181:O189" ca="1" si="114">IF(L181&gt;0,N181*100/L181,0)</f>
        <v>40.71951629512003</v>
      </c>
      <c r="P181" s="155">
        <f t="shared" ref="P181:P189" ca="1" si="115">IF(M181&gt;0,N181*100/M181,0)</f>
        <v>52.269296380185679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4729330</v>
      </c>
      <c r="M183" s="45">
        <f t="shared" ca="1" si="117"/>
        <v>3684305</v>
      </c>
      <c r="N183" s="45">
        <f t="shared" ca="1" si="117"/>
        <v>1925760.3</v>
      </c>
      <c r="O183" s="45">
        <f t="shared" ca="1" si="114"/>
        <v>40.71951629512003</v>
      </c>
      <c r="P183" s="45">
        <f t="shared" ca="1" si="115"/>
        <v>52.269296380185679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4729330</v>
      </c>
      <c r="M184" s="38">
        <f t="shared" ca="1" si="118"/>
        <v>3684305</v>
      </c>
      <c r="N184" s="38">
        <f t="shared" ca="1" si="118"/>
        <v>1925760.3</v>
      </c>
      <c r="O184" s="38">
        <f t="shared" ca="1" si="114"/>
        <v>40.71951629512003</v>
      </c>
      <c r="P184" s="38">
        <f t="shared" ca="1" si="115"/>
        <v>52.269296380185679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xicF4apzSqm0-jIpmueT4kyZtE-Cwn5zskl7GD4loQ/edit?usp=share_link"",""กำแพงเพชร!l186"")+IMPORTRANGE(""https://docs.google.com/spreadsheets/d/1ZNYWeiFoFA1K1U4xKWqRX29MBvEyRHXORjo734Gnq_c/edit?usp=share_li"&amp;"nk"",""เชียงราย!l186"")
+IMPORTRANGE(""https://docs.google.com/spreadsheets/d/1Jgv0Y7YlHDtsiDawwp-uvifEJ8HVaSn0k2aGHG8-hwM/edit?usp=share_link"",""เชียงใหม่!l186"")+IMPORTRANGE(""https://docs.google.com/spreadsheets/d/1JWG2rZePOz9pe-f-ObA-yDr0VoOX2kSb0qIi"&amp;"x2mTUo8/edit?usp=share_link"",""ตาก!l186"")+IMPORTRANGE(""https://docs.google.com/spreadsheets/d/10nSRjK08hx8Y6HgSOQKNw81lyY46Zc7U_Cj72hBMp9U/edit?usp=share_link"",""นครสวรรค์!l186"")+IMPORTRANGE(""https://docs.google.com/spreadsheets/d/1gFVb7qd7amutrIxAA"&amp;"oM7lcy35hllxznovot8lyOfvDo/edit?usp=share_link"",""น่าน!l186"")+IMPORTRANGE(""https://docs.google.com/spreadsheets/d/1K0Aa9s-6EuHE5M0FG1F9aHLXRCOV917xvycTdLdct0w/edit?usp=share_link"",""พะเยา!l186"")+IMPORTRANGE(""https://docs.google.com/spreadsheets/d/1Y"&amp;"9LPKx95PyL5OKy09d-KbKJSuuEZCFdkhYjwC0XQjBA/edit?usp=share_link"",""พิจิตร!l186"")+IMPORTRANGE(""https://docs.google.com/spreadsheets/d/16OMuOwy2eVqZcYWOouQtTpa8X1L23h4660uVHc0C8os/edit?usp=share_link"",""พิษณุโลก!l186"")+IMPORTRANGE(""https://docs.google."&amp;"com/spreadsheets/d/1GfgTldLG6k77HXaMQzaafODklYuucJZQNs_GAPEfZyY/edit?usp=share_link"",""เพชรบูรณ์!l186"")+IMPORTRANGE(""https://docs.google.com/spreadsheets/d/1gvTMYAnm7v1yG1BKWFtr0DnaTsq59oW9dwWvFgq6hs0/edit?usp=share_link"",""แพร่!l186"")+IMPORTRANGE("""&amp;"https://docs.google.com/spreadsheets/d/1Wbcosgy-Xa1xXUArJSOenub6EfZHUSzc_bpJFWwQUf0/edit?usp=share_link"",""แม่ฮ่องสอน!l186"")+IMPORTRANGE(""https://docs.google.com/spreadsheets/d/1p7ERhsr0qZeSn-KSOdeHS9r0heI-lHtkcn2OH7hP0jQ/edit?usp=share_link"",""ลำปาง!"&amp;"l186"")+IMPORTRANGE(""https://docs.google.com/spreadsheets/d/1-uUXvimVhiU2U0bMN-xi2te0tS4X7DI2GLPnMjzl8cA/edit?usp=share_link"",""ลำพูน!l186"")+IMPORTRANGE(""https://docs.google.com/spreadsheets/d/17HrOaa5pBUI1onckFfumXB8xlg35qb2uBAFfF1D-Myo/edit?usp=shar"&amp;"e_link"",""สุโขทัย!l186"")+IMPORTRANGE(""https://docs.google.com/spreadsheets/d/1ubs5cl16eYL9gHbdHTJtmtYb9MGzHBs7CAphn8kNCgM/edit?usp=share_link"",""อุตรดิตถ์!l186"")+IMPORTRANGE(""https://docs.google.com/spreadsheets/d/1kII0BjS6CtVrBvI8IrytgPdxDrlyQDyigz"&amp;"MsohRtDMs/edit?usp=share_link"",""อุทัยธานี!l186"")
"),4729330)</f>
        <v>4729330</v>
      </c>
      <c r="M186" s="45">
        <f ca="1">IFERROR(__xludf.DUMMYFUNCTION("IMPORTRANGE(""https://docs.google.com/spreadsheets/d/1KxicF4apzSqm0-jIpmueT4kyZtE-Cwn5zskl7GD4loQ/edit?usp=share_link"",""กำแพงเพชร!m186"")+IMPORTRANGE(""https://docs.google.com/spreadsheets/d/1ZNYWeiFoFA1K1U4xKWqRX29MBvEyRHXORjo734Gnq_c/edit?usp=share_li"&amp;"nk"",""เชียงราย!m186"")
+IMPORTRANGE(""https://docs.google.com/spreadsheets/d/1Jgv0Y7YlHDtsiDawwp-uvifEJ8HVaSn0k2aGHG8-hwM/edit?usp=share_link"",""เชียงใหม่!m186"")+IMPORTRANGE(""https://docs.google.com/spreadsheets/d/1JWG2rZePOz9pe-f-ObA-yDr0VoOX2kSb0qIi"&amp;"x2mTUo8/edit?usp=share_link"",""ตาก!m186"")+IMPORTRANGE(""https://docs.google.com/spreadsheets/d/10nSRjK08hx8Y6HgSOQKNw81lyY46Zc7U_Cj72hBMp9U/edit?usp=share_link"",""นครสวรรค์!m186"")+IMPORTRANGE(""https://docs.google.com/spreadsheets/d/1gFVb7qd7amutrIxAA"&amp;"oM7lcy35hllxznovot8lyOfvDo/edit?usp=share_link"",""น่าน!m186"")+IMPORTRANGE(""https://docs.google.com/spreadsheets/d/1K0Aa9s-6EuHE5M0FG1F9aHLXRCOV917xvycTdLdct0w/edit?usp=share_link"",""พะเยา!m186"")+IMPORTRANGE(""https://docs.google.com/spreadsheets/d/1Y"&amp;"9LPKx95PyL5OKy09d-KbKJSuuEZCFdkhYjwC0XQjBA/edit?usp=share_link"",""พิจิตร!m186"")+IMPORTRANGE(""https://docs.google.com/spreadsheets/d/16OMuOwy2eVqZcYWOouQtTpa8X1L23h4660uVHc0C8os/edit?usp=share_link"",""พิษณุโลก!m186"")+IMPORTRANGE(""https://docs.google."&amp;"com/spreadsheets/d/1GfgTldLG6k77HXaMQzaafODklYuucJZQNs_GAPEfZyY/edit?usp=share_link"",""เพชรบูรณ์!m186"")+IMPORTRANGE(""https://docs.google.com/spreadsheets/d/1gvTMYAnm7v1yG1BKWFtr0DnaTsq59oW9dwWvFgq6hs0/edit?usp=share_link"",""แพร่!m186"")+IMPORTRANGE("""&amp;"https://docs.google.com/spreadsheets/d/1Wbcosgy-Xa1xXUArJSOenub6EfZHUSzc_bpJFWwQUf0/edit?usp=share_link"",""แม่ฮ่องสอน!m186"")+IMPORTRANGE(""https://docs.google.com/spreadsheets/d/1p7ERhsr0qZeSn-KSOdeHS9r0heI-lHtkcn2OH7hP0jQ/edit?usp=share_link"",""ลำปาง!"&amp;"m186"")+IMPORTRANGE(""https://docs.google.com/spreadsheets/d/1-uUXvimVhiU2U0bMN-xi2te0tS4X7DI2GLPnMjzl8cA/edit?usp=share_link"",""ลำพูน!m186"")+IMPORTRANGE(""https://docs.google.com/spreadsheets/d/17HrOaa5pBUI1onckFfumXB8xlg35qb2uBAFfF1D-Myo/edit?usp=shar"&amp;"e_link"",""สุโขทัย!m186"")+IMPORTRANGE(""https://docs.google.com/spreadsheets/d/1ubs5cl16eYL9gHbdHTJtmtYb9MGzHBs7CAphn8kNCgM/edit?usp=share_link"",""อุตรดิตถ์!m186"")+IMPORTRANGE(""https://docs.google.com/spreadsheets/d/1kII0BjS6CtVrBvI8IrytgPdxDrlyQDyigz"&amp;"MsohRtDMs/edit?usp=share_link"",""อุทัยธานี!m186"")
"),3684305)</f>
        <v>3684305</v>
      </c>
      <c r="N186" s="45">
        <f ca="1">IFERROR(__xludf.DUMMYFUNCTION("IMPORTRANGE(""https://docs.google.com/spreadsheets/d/1KxicF4apzSqm0-jIpmueT4kyZtE-Cwn5zskl7GD4loQ/edit?usp=share_link"",""กำแพงเพชร!n186"")+IMPORTRANGE(""https://docs.google.com/spreadsheets/d/1ZNYWeiFoFA1K1U4xKWqRX29MBvEyRHXORjo734Gnq_c/edit?usp=share_li"&amp;"nk"",""เชียงราย!n186"")
+IMPORTRANGE(""https://docs.google.com/spreadsheets/d/1Jgv0Y7YlHDtsiDawwp-uvifEJ8HVaSn0k2aGHG8-hwM/edit?usp=share_link"",""เชียงใหม่!n186"")+IMPORTRANGE(""https://docs.google.com/spreadsheets/d/1JWG2rZePOz9pe-f-ObA-yDr0VoOX2kSb0qIi"&amp;"x2mTUo8/edit?usp=share_link"",""ตาก!n186"")+IMPORTRANGE(""https://docs.google.com/spreadsheets/d/10nSRjK08hx8Y6HgSOQKNw81lyY46Zc7U_Cj72hBMp9U/edit?usp=share_link"",""นครสวรรค์!n186"")+IMPORTRANGE(""https://docs.google.com/spreadsheets/d/1gFVb7qd7amutrIxAA"&amp;"oM7lcy35hllxznovot8lyOfvDo/edit?usp=share_link"",""น่าน!n186"")+IMPORTRANGE(""https://docs.google.com/spreadsheets/d/1K0Aa9s-6EuHE5M0FG1F9aHLXRCOV917xvycTdLdct0w/edit?usp=share_link"",""พะเยา!n186"")+IMPORTRANGE(""https://docs.google.com/spreadsheets/d/1Y"&amp;"9LPKx95PyL5OKy09d-KbKJSuuEZCFdkhYjwC0XQjBA/edit?usp=share_link"",""พิจิตร!n186"")+IMPORTRANGE(""https://docs.google.com/spreadsheets/d/16OMuOwy2eVqZcYWOouQtTpa8X1L23h4660uVHc0C8os/edit?usp=share_link"",""พิษณุโลก!n186"")+IMPORTRANGE(""https://docs.google."&amp;"com/spreadsheets/d/1GfgTldLG6k77HXaMQzaafODklYuucJZQNs_GAPEfZyY/edit?usp=share_link"",""เพชรบูรณ์!n186"")+IMPORTRANGE(""https://docs.google.com/spreadsheets/d/1gvTMYAnm7v1yG1BKWFtr0DnaTsq59oW9dwWvFgq6hs0/edit?usp=share_link"",""แพร่!n186"")+IMPORTRANGE("""&amp;"https://docs.google.com/spreadsheets/d/1Wbcosgy-Xa1xXUArJSOenub6EfZHUSzc_bpJFWwQUf0/edit?usp=share_link"",""แม่ฮ่องสอน!n186"")+IMPORTRANGE(""https://docs.google.com/spreadsheets/d/1p7ERhsr0qZeSn-KSOdeHS9r0heI-lHtkcn2OH7hP0jQ/edit?usp=share_link"",""ลำปาง!"&amp;"n186"")+IMPORTRANGE(""https://docs.google.com/spreadsheets/d/1-uUXvimVhiU2U0bMN-xi2te0tS4X7DI2GLPnMjzl8cA/edit?usp=share_link"",""ลำพูน!n186"")+IMPORTRANGE(""https://docs.google.com/spreadsheets/d/17HrOaa5pBUI1onckFfumXB8xlg35qb2uBAFfF1D-Myo/edit?usp=shar"&amp;"e_link"",""สุโขทัย!n186"")+IMPORTRANGE(""https://docs.google.com/spreadsheets/d/1ubs5cl16eYL9gHbdHTJtmtYb9MGzHBs7CAphn8kNCgM/edit?usp=share_link"",""อุตรดิตถ์!n186"")+IMPORTRANGE(""https://docs.google.com/spreadsheets/d/1kII0BjS6CtVrBvI8IrytgPdxDrlyQDyigz"&amp;"MsohRtDMs/edit?usp=share_link"",""อุทัยธานี!n186"")
"),1925760.3)</f>
        <v>1925760.3</v>
      </c>
      <c r="O186" s="45">
        <f t="shared" ca="1" si="114"/>
        <v>40.71951629512003</v>
      </c>
      <c r="P186" s="45">
        <f t="shared" ca="1" si="115"/>
        <v>52.269296380185679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xicF4apzSqm0-jIpmueT4kyZtE-Cwn5zskl7GD4loQ/edit?usp=share_link"",""กำแพงเพชร!l189"")+IMPORTRANGE(""https://docs.google.com/spreadsheets/d/1ZNYWeiFoFA1K1U4xKWqRX29MBvEyRHXORjo734Gnq_c/edit?usp=share_li"&amp;"nk"",""เชียงราย!l189"")
+IMPORTRANGE(""https://docs.google.com/spreadsheets/d/1Jgv0Y7YlHDtsiDawwp-uvifEJ8HVaSn0k2aGHG8-hwM/edit?usp=share_link"",""เชียงใหม่!l189"")+IMPORTRANGE(""https://docs.google.com/spreadsheets/d/1JWG2rZePOz9pe-f-ObA-yDr0VoOX2kSb0qIi"&amp;"x2mTUo8/edit?usp=share_link"",""ตาก!l189"")+IMPORTRANGE(""https://docs.google.com/spreadsheets/d/10nSRjK08hx8Y6HgSOQKNw81lyY46Zc7U_Cj72hBMp9U/edit?usp=share_link"",""นครสวรรค์!l189"")+IMPORTRANGE(""https://docs.google.com/spreadsheets/d/1gFVb7qd7amutrIxAA"&amp;"oM7lcy35hllxznovot8lyOfvDo/edit?usp=share_link"",""น่าน!l189"")+IMPORTRANGE(""https://docs.google.com/spreadsheets/d/1K0Aa9s-6EuHE5M0FG1F9aHLXRCOV917xvycTdLdct0w/edit?usp=share_link"",""พะเยา!l189"")+IMPORTRANGE(""https://docs.google.com/spreadsheets/d/1Y"&amp;"9LPKx95PyL5OKy09d-KbKJSuuEZCFdkhYjwC0XQjBA/edit?usp=share_link"",""พิจิตร!l189"")+IMPORTRANGE(""https://docs.google.com/spreadsheets/d/16OMuOwy2eVqZcYWOouQtTpa8X1L23h4660uVHc0C8os/edit?usp=share_link"",""พิษณุโลก!l189"")+IMPORTRANGE(""https://docs.google."&amp;"com/spreadsheets/d/1GfgTldLG6k77HXaMQzaafODklYuucJZQNs_GAPEfZyY/edit?usp=share_link"",""เพชรบูรณ์!l189"")+IMPORTRANGE(""https://docs.google.com/spreadsheets/d/1gvTMYAnm7v1yG1BKWFtr0DnaTsq59oW9dwWvFgq6hs0/edit?usp=share_link"",""แพร่!l189"")+IMPORTRANGE("""&amp;"https://docs.google.com/spreadsheets/d/1Wbcosgy-Xa1xXUArJSOenub6EfZHUSzc_bpJFWwQUf0/edit?usp=share_link"",""แม่ฮ่องสอน!l189"")+IMPORTRANGE(""https://docs.google.com/spreadsheets/d/1p7ERhsr0qZeSn-KSOdeHS9r0heI-lHtkcn2OH7hP0jQ/edit?usp=share_link"",""ลำปาง!"&amp;"l189"")+IMPORTRANGE(""https://docs.google.com/spreadsheets/d/1-uUXvimVhiU2U0bMN-xi2te0tS4X7DI2GLPnMjzl8cA/edit?usp=share_link"",""ลำพูน!l189"")+IMPORTRANGE(""https://docs.google.com/spreadsheets/d/17HrOaa5pBUI1onckFfumXB8xlg35qb2uBAFfF1D-Myo/edit?usp=shar"&amp;"e_link"",""สุโขทัย!l189"")+IMPORTRANGE(""https://docs.google.com/spreadsheets/d/1ubs5cl16eYL9gHbdHTJtmtYb9MGzHBs7CAphn8kNCgM/edit?usp=share_link"",""อุตรดิตถ์!l189"")+IMPORTRANGE(""https://docs.google.com/spreadsheets/d/1kII0BjS6CtVrBvI8IrytgPdxDrlyQDyigz"&amp;"MsohRtDMs/edit?usp=share_link"",""อุทัยธานี!l189"")
"),0)</f>
        <v>0</v>
      </c>
      <c r="M189" s="45">
        <f ca="1">IFERROR(__xludf.DUMMYFUNCTION("IMPORTRANGE(""https://docs.google.com/spreadsheets/d/1KxicF4apzSqm0-jIpmueT4kyZtE-Cwn5zskl7GD4loQ/edit?usp=share_link"",""กำแพงเพชร!m189"")+IMPORTRANGE(""https://docs.google.com/spreadsheets/d/1ZNYWeiFoFA1K1U4xKWqRX29MBvEyRHXORjo734Gnq_c/edit?usp=share_li"&amp;"nk"",""เชียงราย!m189"")
+IMPORTRANGE(""https://docs.google.com/spreadsheets/d/1Jgv0Y7YlHDtsiDawwp-uvifEJ8HVaSn0k2aGHG8-hwM/edit?usp=share_link"",""เชียงใหม่!m189"")+IMPORTRANGE(""https://docs.google.com/spreadsheets/d/1JWG2rZePOz9pe-f-ObA-yDr0VoOX2kSb0qIi"&amp;"x2mTUo8/edit?usp=share_link"",""ตาก!m189"")+IMPORTRANGE(""https://docs.google.com/spreadsheets/d/10nSRjK08hx8Y6HgSOQKNw81lyY46Zc7U_Cj72hBMp9U/edit?usp=share_link"",""นครสวรรค์!m189"")+IMPORTRANGE(""https://docs.google.com/spreadsheets/d/1gFVb7qd7amutrIxAA"&amp;"oM7lcy35hllxznovot8lyOfvDo/edit?usp=share_link"",""น่าน!m189"")+IMPORTRANGE(""https://docs.google.com/spreadsheets/d/1K0Aa9s-6EuHE5M0FG1F9aHLXRCOV917xvycTdLdct0w/edit?usp=share_link"",""พะเยา!m189"")+IMPORTRANGE(""https://docs.google.com/spreadsheets/d/1Y"&amp;"9LPKx95PyL5OKy09d-KbKJSuuEZCFdkhYjwC0XQjBA/edit?usp=share_link"",""พิจิตร!m189"")+IMPORTRANGE(""https://docs.google.com/spreadsheets/d/16OMuOwy2eVqZcYWOouQtTpa8X1L23h4660uVHc0C8os/edit?usp=share_link"",""พิษณุโลก!m189"")+IMPORTRANGE(""https://docs.google."&amp;"com/spreadsheets/d/1GfgTldLG6k77HXaMQzaafODklYuucJZQNs_GAPEfZyY/edit?usp=share_link"",""เพชรบูรณ์!m189"")+IMPORTRANGE(""https://docs.google.com/spreadsheets/d/1gvTMYAnm7v1yG1BKWFtr0DnaTsq59oW9dwWvFgq6hs0/edit?usp=share_link"",""แพร่!m189"")+IMPORTRANGE("""&amp;"https://docs.google.com/spreadsheets/d/1Wbcosgy-Xa1xXUArJSOenub6EfZHUSzc_bpJFWwQUf0/edit?usp=share_link"",""แม่ฮ่องสอน!m189"")+IMPORTRANGE(""https://docs.google.com/spreadsheets/d/1p7ERhsr0qZeSn-KSOdeHS9r0heI-lHtkcn2OH7hP0jQ/edit?usp=share_link"",""ลำปาง!"&amp;"m189"")+IMPORTRANGE(""https://docs.google.com/spreadsheets/d/1-uUXvimVhiU2U0bMN-xi2te0tS4X7DI2GLPnMjzl8cA/edit?usp=share_link"",""ลำพูน!m189"")+IMPORTRANGE(""https://docs.google.com/spreadsheets/d/17HrOaa5pBUI1onckFfumXB8xlg35qb2uBAFfF1D-Myo/edit?usp=shar"&amp;"e_link"",""สุโขทัย!m189"")+IMPORTRANGE(""https://docs.google.com/spreadsheets/d/1ubs5cl16eYL9gHbdHTJtmtYb9MGzHBs7CAphn8kNCgM/edit?usp=share_link"",""อุตรดิตถ์!m189"")+IMPORTRANGE(""https://docs.google.com/spreadsheets/d/1kII0BjS6CtVrBvI8IrytgPdxDrlyQDyigz"&amp;"MsohRtDMs/edit?usp=share_link"",""อุทัยธานี!m189"")
"),0)</f>
        <v>0</v>
      </c>
      <c r="N189" s="45">
        <f ca="1">IFERROR(__xludf.DUMMYFUNCTION("IMPORTRANGE(""https://docs.google.com/spreadsheets/d/1KxicF4apzSqm0-jIpmueT4kyZtE-Cwn5zskl7GD4loQ/edit?usp=share_link"",""กำแพงเพชร!n189"")+IMPORTRANGE(""https://docs.google.com/spreadsheets/d/1ZNYWeiFoFA1K1U4xKWqRX29MBvEyRHXORjo734Gnq_c/edit?usp=share_li"&amp;"nk"",""เชียงราย!n189"")
+IMPORTRANGE(""https://docs.google.com/spreadsheets/d/1Jgv0Y7YlHDtsiDawwp-uvifEJ8HVaSn0k2aGHG8-hwM/edit?usp=share_link"",""เชียงใหม่!n189"")+IMPORTRANGE(""https://docs.google.com/spreadsheets/d/1JWG2rZePOz9pe-f-ObA-yDr0VoOX2kSb0qIi"&amp;"x2mTUo8/edit?usp=share_link"",""ตาก!n189"")+IMPORTRANGE(""https://docs.google.com/spreadsheets/d/10nSRjK08hx8Y6HgSOQKNw81lyY46Zc7U_Cj72hBMp9U/edit?usp=share_link"",""นครสวรรค์!n189"")+IMPORTRANGE(""https://docs.google.com/spreadsheets/d/1gFVb7qd7amutrIxAA"&amp;"oM7lcy35hllxznovot8lyOfvDo/edit?usp=share_link"",""น่าน!n189"")+IMPORTRANGE(""https://docs.google.com/spreadsheets/d/1K0Aa9s-6EuHE5M0FG1F9aHLXRCOV917xvycTdLdct0w/edit?usp=share_link"",""พะเยา!n189"")+IMPORTRANGE(""https://docs.google.com/spreadsheets/d/1Y"&amp;"9LPKx95PyL5OKy09d-KbKJSuuEZCFdkhYjwC0XQjBA/edit?usp=share_link"",""พิจิตร!n189"")+IMPORTRANGE(""https://docs.google.com/spreadsheets/d/16OMuOwy2eVqZcYWOouQtTpa8X1L23h4660uVHc0C8os/edit?usp=share_link"",""พิษณุโลก!n189"")+IMPORTRANGE(""https://docs.google."&amp;"com/spreadsheets/d/1GfgTldLG6k77HXaMQzaafODklYuucJZQNs_GAPEfZyY/edit?usp=share_link"",""เพชรบูรณ์!n189"")+IMPORTRANGE(""https://docs.google.com/spreadsheets/d/1gvTMYAnm7v1yG1BKWFtr0DnaTsq59oW9dwWvFgq6hs0/edit?usp=share_link"",""แพร่!n189"")+IMPORTRANGE("""&amp;"https://docs.google.com/spreadsheets/d/1Wbcosgy-Xa1xXUArJSOenub6EfZHUSzc_bpJFWwQUf0/edit?usp=share_link"",""แม่ฮ่องสอน!n189"")+IMPORTRANGE(""https://docs.google.com/spreadsheets/d/1p7ERhsr0qZeSn-KSOdeHS9r0heI-lHtkcn2OH7hP0jQ/edit?usp=share_link"",""ลำปาง!"&amp;"n189"")+IMPORTRANGE(""https://docs.google.com/spreadsheets/d/1-uUXvimVhiU2U0bMN-xi2te0tS4X7DI2GLPnMjzl8cA/edit?usp=share_link"",""ลำพูน!n189"")+IMPORTRANGE(""https://docs.google.com/spreadsheets/d/17HrOaa5pBUI1onckFfumXB8xlg35qb2uBAFfF1D-Myo/edit?usp=shar"&amp;"e_link"",""สุโขทัย!n189"")+IMPORTRANGE(""https://docs.google.com/spreadsheets/d/1ubs5cl16eYL9gHbdHTJtmtYb9MGzHBs7CAphn8kNCgM/edit?usp=share_link"",""อุตรดิตถ์!n189"")+IMPORTRANGE(""https://docs.google.com/spreadsheets/d/1kII0BjS6CtVrBvI8IrytgPdxDrlyQDyigz"&amp;"MsohRtDMs/edit?usp=share_link"",""อุทัยธานี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0">I193</f>
        <v>68</v>
      </c>
      <c r="J190" s="272">
        <f t="shared" ca="1" si="120"/>
        <v>26</v>
      </c>
      <c r="K190" s="273">
        <f ca="1">IF(I190&gt;0,J190*100/I190,0)</f>
        <v>38.235294117647058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xicF4apzSqm0-jIpmueT4kyZtE-Cwn5zskl7GD4loQ/edit?usp=share_link"",""กำแพงเพชร!l191"")+IMPORTRANGE(""https://docs.google.com/spreadsheets/d/1ZNYWeiFoFA1K1U4xKWqRX29MBvEyRHXORjo734Gnq_c/edit?usp=share_li"&amp;"nk"",""เชียงราย!l191"")
+IMPORTRANGE(""https://docs.google.com/spreadsheets/d/1Jgv0Y7YlHDtsiDawwp-uvifEJ8HVaSn0k2aGHG8-hwM/edit?usp=share_link"",""เชียงใหม่!l191"")+IMPORTRANGE(""https://docs.google.com/spreadsheets/d/1JWG2rZePOz9pe-f-ObA-yDr0VoOX2kSb0qIi"&amp;"x2mTUo8/edit?usp=share_link"",""ตาก!l191"")+IMPORTRANGE(""https://docs.google.com/spreadsheets/d/10nSRjK08hx8Y6HgSOQKNw81lyY46Zc7U_Cj72hBMp9U/edit?usp=share_link"",""นครสวรรค์!l191"")+IMPORTRANGE(""https://docs.google.com/spreadsheets/d/1gFVb7qd7amutrIxAA"&amp;"oM7lcy35hllxznovot8lyOfvDo/edit?usp=share_link"",""น่าน!l191"")+IMPORTRANGE(""https://docs.google.com/spreadsheets/d/1K0Aa9s-6EuHE5M0FG1F9aHLXRCOV917xvycTdLdct0w/edit?usp=share_link"",""พะเยา!l191"")+IMPORTRANGE(""https://docs.google.com/spreadsheets/d/1Y"&amp;"9LPKx95PyL5OKy09d-KbKJSuuEZCFdkhYjwC0XQjBA/edit?usp=share_link"",""พิจิตร!l191"")+IMPORTRANGE(""https://docs.google.com/spreadsheets/d/16OMuOwy2eVqZcYWOouQtTpa8X1L23h4660uVHc0C8os/edit?usp=share_link"",""พิษณุโลก!l191"")+IMPORTRANGE(""https://docs.google."&amp;"com/spreadsheets/d/1GfgTldLG6k77HXaMQzaafODklYuucJZQNs_GAPEfZyY/edit?usp=share_link"",""เพชรบูรณ์!l191"")+IMPORTRANGE(""https://docs.google.com/spreadsheets/d/1gvTMYAnm7v1yG1BKWFtr0DnaTsq59oW9dwWvFgq6hs0/edit?usp=share_link"",""แพร่!l191"")+IMPORTRANGE("""&amp;"https://docs.google.com/spreadsheets/d/1Wbcosgy-Xa1xXUArJSOenub6EfZHUSzc_bpJFWwQUf0/edit?usp=share_link"",""แม่ฮ่องสอน!l191"")+IMPORTRANGE(""https://docs.google.com/spreadsheets/d/1p7ERhsr0qZeSn-KSOdeHS9r0heI-lHtkcn2OH7hP0jQ/edit?usp=share_link"",""ลำปาง!"&amp;"l191"")+IMPORTRANGE(""https://docs.google.com/spreadsheets/d/1-uUXvimVhiU2U0bMN-xi2te0tS4X7DI2GLPnMjzl8cA/edit?usp=share_link"",""ลำพูน!l191"")+IMPORTRANGE(""https://docs.google.com/spreadsheets/d/17HrOaa5pBUI1onckFfumXB8xlg35qb2uBAFfF1D-Myo/edit?usp=shar"&amp;"e_link"",""สุโขทัย!l191"")+IMPORTRANGE(""https://docs.google.com/spreadsheets/d/1ubs5cl16eYL9gHbdHTJtmtYb9MGzHBs7CAphn8kNCgM/edit?usp=share_link"",""อุตรดิตถ์!l191"")+IMPORTRANGE(""https://docs.google.com/spreadsheets/d/1kII0BjS6CtVrBvI8IrytgPdxDrlyQDyigz"&amp;"MsohRtDMs/edit?usp=share_link"",""อุทัยธานี!l191"")
"),102000)</f>
        <v>102000</v>
      </c>
      <c r="M191" s="155"/>
      <c r="N191" s="276">
        <f ca="1">IFERROR(__xludf.DUMMYFUNCTION("IMPORTRANGE(""https://docs.google.com/spreadsheets/d/1KxicF4apzSqm0-jIpmueT4kyZtE-Cwn5zskl7GD4loQ/edit?usp=share_link"",""กำแพงเพชร!n191"")+IMPORTRANGE(""https://docs.google.com/spreadsheets/d/1ZNYWeiFoFA1K1U4xKWqRX29MBvEyRHXORjo734Gnq_c/edit?usp=share_li"&amp;"nk"",""เชียงราย!n191"")
+IMPORTRANGE(""https://docs.google.com/spreadsheets/d/1Jgv0Y7YlHDtsiDawwp-uvifEJ8HVaSn0k2aGHG8-hwM/edit?usp=share_link"",""เชียงใหม่!n191"")+IMPORTRANGE(""https://docs.google.com/spreadsheets/d/1JWG2rZePOz9pe-f-ObA-yDr0VoOX2kSb0qIi"&amp;"x2mTUo8/edit?usp=share_link"",""ตาก!n191"")+IMPORTRANGE(""https://docs.google.com/spreadsheets/d/10nSRjK08hx8Y6HgSOQKNw81lyY46Zc7U_Cj72hBMp9U/edit?usp=share_link"",""นครสวรรค์!n191"")+IMPORTRANGE(""https://docs.google.com/spreadsheets/d/1gFVb7qd7amutrIxAA"&amp;"oM7lcy35hllxznovot8lyOfvDo/edit?usp=share_link"",""น่าน!n191"")+IMPORTRANGE(""https://docs.google.com/spreadsheets/d/1K0Aa9s-6EuHE5M0FG1F9aHLXRCOV917xvycTdLdct0w/edit?usp=share_link"",""พะเยา!n191"")+IMPORTRANGE(""https://docs.google.com/spreadsheets/d/1Y"&amp;"9LPKx95PyL5OKy09d-KbKJSuuEZCFdkhYjwC0XQjBA/edit?usp=share_link"",""พิจิตร!n191"")+IMPORTRANGE(""https://docs.google.com/spreadsheets/d/16OMuOwy2eVqZcYWOouQtTpa8X1L23h4660uVHc0C8os/edit?usp=share_link"",""พิษณุโลก!n191"")+IMPORTRANGE(""https://docs.google."&amp;"com/spreadsheets/d/1GfgTldLG6k77HXaMQzaafODklYuucJZQNs_GAPEfZyY/edit?usp=share_link"",""เพชรบูรณ์!n191"")+IMPORTRANGE(""https://docs.google.com/spreadsheets/d/1gvTMYAnm7v1yG1BKWFtr0DnaTsq59oW9dwWvFgq6hs0/edit?usp=share_link"",""แพร่!n191"")+IMPORTRANGE("""&amp;"https://docs.google.com/spreadsheets/d/1Wbcosgy-Xa1xXUArJSOenub6EfZHUSzc_bpJFWwQUf0/edit?usp=share_link"",""แม่ฮ่องสอน!n191"")+IMPORTRANGE(""https://docs.google.com/spreadsheets/d/1p7ERhsr0qZeSn-KSOdeHS9r0heI-lHtkcn2OH7hP0jQ/edit?usp=share_link"",""ลำปาง!"&amp;"n191"")+IMPORTRANGE(""https://docs.google.com/spreadsheets/d/1-uUXvimVhiU2U0bMN-xi2te0tS4X7DI2GLPnMjzl8cA/edit?usp=share_link"",""ลำพูน!n191"")+IMPORTRANGE(""https://docs.google.com/spreadsheets/d/17HrOaa5pBUI1onckFfumXB8xlg35qb2uBAFfF1D-Myo/edit?usp=shar"&amp;"e_link"",""สุโขทัย!n191"")+IMPORTRANGE(""https://docs.google.com/spreadsheets/d/1ubs5cl16eYL9gHbdHTJtmtYb9MGzHBs7CAphn8kNCgM/edit?usp=share_link"",""อุตรดิตถ์!n191"")+IMPORTRANGE(""https://docs.google.com/spreadsheets/d/1kII0BjS6CtVrBvI8IrytgPdxDrlyQDyigz"&amp;"MsohRtDMs/edit?usp=share_link"",""อุทัยธานี!n191"")
"),22072.44)</f>
        <v>22072.44</v>
      </c>
      <c r="O191" s="155">
        <f ca="1">IF(L191&gt;0,N191*100/L191,0)</f>
        <v>21.639647058823531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xicF4apzSqm0-jIpmueT4kyZtE-Cwn5zskl7GD4loQ/edit?usp=share_link"",""กำแพงเพชร!I193"")+IMPORTRANGE(""https://docs.google.com/spreadsheets/d/1ZNYWeiFoFA1K1U4xKWqRX29MBvEyRHXORjo734Gnq_c/edit?usp=share_li"&amp;"nk"",""เชียงราย!I193"")
+IMPORTRANGE(""https://docs.google.com/spreadsheets/d/1Jgv0Y7YlHDtsiDawwp-uvifEJ8HVaSn0k2aGHG8-hwM/edit?usp=share_link"",""เชียงใหม่!I193"")+IMPORTRANGE(""https://docs.google.com/spreadsheets/d/1JWG2rZePOz9pe-f-ObA-yDr0VoOX2kSb0qIi"&amp;"x2mTUo8/edit?usp=share_link"",""ตาก!I193"")+IMPORTRANGE(""https://docs.google.com/spreadsheets/d/10nSRjK08hx8Y6HgSOQKNw81lyY46Zc7U_Cj72hBMp9U/edit?usp=share_link"",""นครสวรรค์!I193"")+IMPORTRANGE(""https://docs.google.com/spreadsheets/d/1gFVb7qd7amutrIxAA"&amp;"oM7lcy35hllxznovot8lyOfvDo/edit?usp=share_link"",""น่าน!I193"")+IMPORTRANGE(""https://docs.google.com/spreadsheets/d/1K0Aa9s-6EuHE5M0FG1F9aHLXRCOV917xvycTdLdct0w/edit?usp=share_link"",""พะเยา!I193"")+IMPORTRANGE(""https://docs.google.com/spreadsheets/d/1Y"&amp;"9LPKx95PyL5OKy09d-KbKJSuuEZCFdkhYjwC0XQjBA/edit?usp=share_link"",""พิจิตร!I193"")+IMPORTRANGE(""https://docs.google.com/spreadsheets/d/16OMuOwy2eVqZcYWOouQtTpa8X1L23h4660uVHc0C8os/edit?usp=share_link"",""พิษณุโลก!I193"")+IMPORTRANGE(""https://docs.google."&amp;"com/spreadsheets/d/1GfgTldLG6k77HXaMQzaafODklYuucJZQNs_GAPEfZyY/edit?usp=share_link"",""เพชรบูรณ์!I193"")+IMPORTRANGE(""https://docs.google.com/spreadsheets/d/1gvTMYAnm7v1yG1BKWFtr0DnaTsq59oW9dwWvFgq6hs0/edit?usp=share_link"",""แพร่!I193"")+IMPORTRANGE("""&amp;"https://docs.google.com/spreadsheets/d/1Wbcosgy-Xa1xXUArJSOenub6EfZHUSzc_bpJFWwQUf0/edit?usp=share_link"",""แม่ฮ่องสอน!I193"")+IMPORTRANGE(""https://docs.google.com/spreadsheets/d/1p7ERhsr0qZeSn-KSOdeHS9r0heI-lHtkcn2OH7hP0jQ/edit?usp=share_link"",""ลำปาง!"&amp;"I193"")+IMPORTRANGE(""https://docs.google.com/spreadsheets/d/1-uUXvimVhiU2U0bMN-xi2te0tS4X7DI2GLPnMjzl8cA/edit?usp=share_link"",""ลำพูน!I193"")+IMPORTRANGE(""https://docs.google.com/spreadsheets/d/17HrOaa5pBUI1onckFfumXB8xlg35qb2uBAFfF1D-Myo/edit?usp=shar"&amp;"e_link"",""สุโขทัย!I193"")+IMPORTRANGE(""https://docs.google.com/spreadsheets/d/1ubs5cl16eYL9gHbdHTJtmtYb9MGzHBs7CAphn8kNCgM/edit?usp=share_link"",""อุตรดิตถ์!I193"")+IMPORTRANGE(""https://docs.google.com/spreadsheets/d/1kII0BjS6CtVrBvI8IrytgPdxDrlyQDyigz"&amp;"MsohRtDMs/edit?usp=share_link"",""อุทัยธานี!I193"")
"),68)</f>
        <v>68</v>
      </c>
      <c r="J193" s="183">
        <f ca="1">IFERROR(__xludf.DUMMYFUNCTION("IMPORTRANGE(""https://docs.google.com/spreadsheets/d/1KxicF4apzSqm0-jIpmueT4kyZtE-Cwn5zskl7GD4loQ/edit?usp=share_link"",""กำแพงเพชร!J193"")+IMPORTRANGE(""https://docs.google.com/spreadsheets/d/1ZNYWeiFoFA1K1U4xKWqRX29MBvEyRHXORjo734Gnq_c/edit?usp=share_li"&amp;"nk"",""เชียงราย!J193"")
+IMPORTRANGE(""https://docs.google.com/spreadsheets/d/1Jgv0Y7YlHDtsiDawwp-uvifEJ8HVaSn0k2aGHG8-hwM/edit?usp=share_link"",""เชียงใหม่!J193"")+IMPORTRANGE(""https://docs.google.com/spreadsheets/d/1JWG2rZePOz9pe-f-ObA-yDr0VoOX2kSb0qIi"&amp;"x2mTUo8/edit?usp=share_link"",""ตาก!J193"")+IMPORTRANGE(""https://docs.google.com/spreadsheets/d/10nSRjK08hx8Y6HgSOQKNw81lyY46Zc7U_Cj72hBMp9U/edit?usp=share_link"",""นครสวรรค์!J193"")+IMPORTRANGE(""https://docs.google.com/spreadsheets/d/1gFVb7qd7amutrIxAA"&amp;"oM7lcy35hllxznovot8lyOfvDo/edit?usp=share_link"",""น่าน!J193"")+IMPORTRANGE(""https://docs.google.com/spreadsheets/d/1K0Aa9s-6EuHE5M0FG1F9aHLXRCOV917xvycTdLdct0w/edit?usp=share_link"",""พะเยา!J193"")+IMPORTRANGE(""https://docs.google.com/spreadsheets/d/1Y"&amp;"9LPKx95PyL5OKy09d-KbKJSuuEZCFdkhYjwC0XQjBA/edit?usp=share_link"",""พิจิตร!J193"")+IMPORTRANGE(""https://docs.google.com/spreadsheets/d/16OMuOwy2eVqZcYWOouQtTpa8X1L23h4660uVHc0C8os/edit?usp=share_link"",""พิษณุโลก!J193"")+IMPORTRANGE(""https://docs.google."&amp;"com/spreadsheets/d/1GfgTldLG6k77HXaMQzaafODklYuucJZQNs_GAPEfZyY/edit?usp=share_link"",""เพชรบูรณ์!J193"")+IMPORTRANGE(""https://docs.google.com/spreadsheets/d/1gvTMYAnm7v1yG1BKWFtr0DnaTsq59oW9dwWvFgq6hs0/edit?usp=share_link"",""แพร่!J193"")+IMPORTRANGE("""&amp;"https://docs.google.com/spreadsheets/d/1Wbcosgy-Xa1xXUArJSOenub6EfZHUSzc_bpJFWwQUf0/edit?usp=share_link"",""แม่ฮ่องสอน!J193"")+IMPORTRANGE(""https://docs.google.com/spreadsheets/d/1p7ERhsr0qZeSn-KSOdeHS9r0heI-lHtkcn2OH7hP0jQ/edit?usp=share_link"",""ลำปาง!"&amp;"J193"")+IMPORTRANGE(""https://docs.google.com/spreadsheets/d/1-uUXvimVhiU2U0bMN-xi2te0tS4X7DI2GLPnMjzl8cA/edit?usp=share_link"",""ลำพูน!J193"")+IMPORTRANGE(""https://docs.google.com/spreadsheets/d/17HrOaa5pBUI1onckFfumXB8xlg35qb2uBAFfF1D-Myo/edit?usp=shar"&amp;"e_link"",""สุโขทัย!J193"")+IMPORTRANGE(""https://docs.google.com/spreadsheets/d/1ubs5cl16eYL9gHbdHTJtmtYb9MGzHBs7CAphn8kNCgM/edit?usp=share_link"",""อุตรดิตถ์!J193"")+IMPORTRANGE(""https://docs.google.com/spreadsheets/d/1kII0BjS6CtVrBvI8IrytgPdxDrlyQDyigz"&amp;"MsohRtDMs/edit?usp=share_link"",""อุทัยธานี!J193"")
"),26)</f>
        <v>26</v>
      </c>
      <c r="K193" s="38">
        <f ca="1">IF(I193&gt;0,J193*100/I193,0)</f>
        <v>38.235294117647058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845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xicF4apzSqm0-jIpmueT4kyZtE-Cwn5zskl7GD4loQ/edit?usp=share_link"",""กำแพงเพชร!J195"")+IMPORTRANGE(""https://docs.google.com/spreadsheets/d/1ZNYWeiFoFA1K1U4xKWqRX29MBvEyRHXORjo734Gnq_c/edit?usp=share_li"&amp;"nk"",""เชียงราย!J195"")
+IMPORTRANGE(""https://docs.google.com/spreadsheets/d/1Jgv0Y7YlHDtsiDawwp-uvifEJ8HVaSn0k2aGHG8-hwM/edit?usp=share_link"",""เชียงใหม่!J195"")+IMPORTRANGE(""https://docs.google.com/spreadsheets/d/1JWG2rZePOz9pe-f-ObA-yDr0VoOX2kSb0qIi"&amp;"x2mTUo8/edit?usp=share_link"",""ตาก!J195"")+IMPORTRANGE(""https://docs.google.com/spreadsheets/d/10nSRjK08hx8Y6HgSOQKNw81lyY46Zc7U_Cj72hBMp9U/edit?usp=share_link"",""นครสวรรค์!J195"")+IMPORTRANGE(""https://docs.google.com/spreadsheets/d/1gFVb7qd7amutrIxAA"&amp;"oM7lcy35hllxznovot8lyOfvDo/edit?usp=share_link"",""น่าน!J195"")+IMPORTRANGE(""https://docs.google.com/spreadsheets/d/1K0Aa9s-6EuHE5M0FG1F9aHLXRCOV917xvycTdLdct0w/edit?usp=share_link"",""พะเยา!J195"")+IMPORTRANGE(""https://docs.google.com/spreadsheets/d/1Y"&amp;"9LPKx95PyL5OKy09d-KbKJSuuEZCFdkhYjwC0XQjBA/edit?usp=share_link"",""พิจิตร!J195"")+IMPORTRANGE(""https://docs.google.com/spreadsheets/d/16OMuOwy2eVqZcYWOouQtTpa8X1L23h4660uVHc0C8os/edit?usp=share_link"",""พิษณุโลก!J195"")+IMPORTRANGE(""https://docs.google."&amp;"com/spreadsheets/d/1GfgTldLG6k77HXaMQzaafODklYuucJZQNs_GAPEfZyY/edit?usp=share_link"",""เพชรบูรณ์!J195"")+IMPORTRANGE(""https://docs.google.com/spreadsheets/d/1gvTMYAnm7v1yG1BKWFtr0DnaTsq59oW9dwWvFgq6hs0/edit?usp=share_link"",""แพร่!J195"")+IMPORTRANGE("""&amp;"https://docs.google.com/spreadsheets/d/1Wbcosgy-Xa1xXUArJSOenub6EfZHUSzc_bpJFWwQUf0/edit?usp=share_link"",""แม่ฮ่องสอน!J195"")+IMPORTRANGE(""https://docs.google.com/spreadsheets/d/1p7ERhsr0qZeSn-KSOdeHS9r0heI-lHtkcn2OH7hP0jQ/edit?usp=share_link"",""ลำปาง!"&amp;"J195"")+IMPORTRANGE(""https://docs.google.com/spreadsheets/d/1-uUXvimVhiU2U0bMN-xi2te0tS4X7DI2GLPnMjzl8cA/edit?usp=share_link"",""ลำพูน!J195"")+IMPORTRANGE(""https://docs.google.com/spreadsheets/d/17HrOaa5pBUI1onckFfumXB8xlg35qb2uBAFfF1D-Myo/edit?usp=shar"&amp;"e_link"",""สุโขทัย!J195"")+IMPORTRANGE(""https://docs.google.com/spreadsheets/d/1ubs5cl16eYL9gHbdHTJtmtYb9MGzHBs7CAphn8kNCgM/edit?usp=share_link"",""อุตรดิตถ์!J195"")+IMPORTRANGE(""https://docs.google.com/spreadsheets/d/1kII0BjS6CtVrBvI8IrytgPdxDrlyQDyigz"&amp;"MsohRtDMs/edit?usp=share_link"",""อุทัยธานี!J195"")
"),845)</f>
        <v>845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xicF4apzSqm0-jIpmueT4kyZtE-Cwn5zskl7GD4loQ/edit?usp=share_link"",""กำแพงเพชร!J196"")+IMPORTRANGE(""https://docs.google.com/spreadsheets/d/1ZNYWeiFoFA1K1U4xKWqRX29MBvEyRHXORjo734Gnq_c/edit?usp=share_li"&amp;"nk"",""เชียงราย!J196"")
+IMPORTRANGE(""https://docs.google.com/spreadsheets/d/1Jgv0Y7YlHDtsiDawwp-uvifEJ8HVaSn0k2aGHG8-hwM/edit?usp=share_link"",""เชียงใหม่!J196"")+IMPORTRANGE(""https://docs.google.com/spreadsheets/d/1JWG2rZePOz9pe-f-ObA-yDr0VoOX2kSb0qIi"&amp;"x2mTUo8/edit?usp=share_link"",""ตาก!J196"")+IMPORTRANGE(""https://docs.google.com/spreadsheets/d/10nSRjK08hx8Y6HgSOQKNw81lyY46Zc7U_Cj72hBMp9U/edit?usp=share_link"",""นครสวรรค์!J196"")+IMPORTRANGE(""https://docs.google.com/spreadsheets/d/1gFVb7qd7amutrIxAA"&amp;"oM7lcy35hllxznovot8lyOfvDo/edit?usp=share_link"",""น่าน!J196"")+IMPORTRANGE(""https://docs.google.com/spreadsheets/d/1K0Aa9s-6EuHE5M0FG1F9aHLXRCOV917xvycTdLdct0w/edit?usp=share_link"",""พะเยา!J196"")+IMPORTRANGE(""https://docs.google.com/spreadsheets/d/1Y"&amp;"9LPKx95PyL5OKy09d-KbKJSuuEZCFdkhYjwC0XQjBA/edit?usp=share_link"",""พิจิตร!J196"")+IMPORTRANGE(""https://docs.google.com/spreadsheets/d/16OMuOwy2eVqZcYWOouQtTpa8X1L23h4660uVHc0C8os/edit?usp=share_link"",""พิษณุโลก!J196"")+IMPORTRANGE(""https://docs.google."&amp;"com/spreadsheets/d/1GfgTldLG6k77HXaMQzaafODklYuucJZQNs_GAPEfZyY/edit?usp=share_link"",""เพชรบูรณ์!J196"")+IMPORTRANGE(""https://docs.google.com/spreadsheets/d/1gvTMYAnm7v1yG1BKWFtr0DnaTsq59oW9dwWvFgq6hs0/edit?usp=share_link"",""แพร่!J196"")+IMPORTRANGE("""&amp;"https://docs.google.com/spreadsheets/d/1Wbcosgy-Xa1xXUArJSOenub6EfZHUSzc_bpJFWwQUf0/edit?usp=share_link"",""แม่ฮ่องสอน!J196"")+IMPORTRANGE(""https://docs.google.com/spreadsheets/d/1p7ERhsr0qZeSn-KSOdeHS9r0heI-lHtkcn2OH7hP0jQ/edit?usp=share_link"",""ลำปาง!"&amp;"J196"")+IMPORTRANGE(""https://docs.google.com/spreadsheets/d/1-uUXvimVhiU2U0bMN-xi2te0tS4X7DI2GLPnMjzl8cA/edit?usp=share_link"",""ลำพูน!J196"")+IMPORTRANGE(""https://docs.google.com/spreadsheets/d/17HrOaa5pBUI1onckFfumXB8xlg35qb2uBAFfF1D-Myo/edit?usp=shar"&amp;"e_link"",""สุโขทัย!J196"")+IMPORTRANGE(""https://docs.google.com/spreadsheets/d/1ubs5cl16eYL9gHbdHTJtmtYb9MGzHBs7CAphn8kNCgM/edit?usp=share_link"",""อุตรดิตถ์!J196"")+IMPORTRANGE(""https://docs.google.com/spreadsheets/d/1kII0BjS6CtVrBvI8IrytgPdxDrlyQDyigz"&amp;"MsohRtDMs/edit?usp=share_link"",""อุทัยธานี!J196"")
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1">I204</f>
        <v>50</v>
      </c>
      <c r="J197" s="272">
        <f t="shared" ca="1" si="121"/>
        <v>32</v>
      </c>
      <c r="K197" s="273">
        <f ca="1">IF(I197&gt;0,J197*100/I197,0)</f>
        <v>64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665000</v>
      </c>
      <c r="M198" s="155"/>
      <c r="N198" s="155">
        <f ca="1">N199+N200+N201+N202</f>
        <v>266045</v>
      </c>
      <c r="O198" s="155">
        <f ca="1">IF(L198&gt;0,N198*100/L198,0)</f>
        <v>40.006766917293234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xicF4apzSqm0-jIpmueT4kyZtE-Cwn5zskl7GD4loQ/edit?usp=share_link"",""กำแพงเพชร!l199"")+IMPORTRANGE(""https://docs.google.com/spreadsheets/d/1ZNYWeiFoFA1K1U4xKWqRX29MBvEyRHXORjo734Gnq_c/edit?usp=share_li"&amp;"nk"",""เชียงราย!l199"")
+IMPORTRANGE(""https://docs.google.com/spreadsheets/d/1Jgv0Y7YlHDtsiDawwp-uvifEJ8HVaSn0k2aGHG8-hwM/edit?usp=share_link"",""เชียงใหม่!l199"")+IMPORTRANGE(""https://docs.google.com/spreadsheets/d/1JWG2rZePOz9pe-f-ObA-yDr0VoOX2kSb0qIi"&amp;"x2mTUo8/edit?usp=share_link"",""ตาก!l199"")+IMPORTRANGE(""https://docs.google.com/spreadsheets/d/10nSRjK08hx8Y6HgSOQKNw81lyY46Zc7U_Cj72hBMp9U/edit?usp=share_link"",""นครสวรรค์!l199"")+IMPORTRANGE(""https://docs.google.com/spreadsheets/d/1gFVb7qd7amutrIxAA"&amp;"oM7lcy35hllxznovot8lyOfvDo/edit?usp=share_link"",""น่าน!l199"")+IMPORTRANGE(""https://docs.google.com/spreadsheets/d/1K0Aa9s-6EuHE5M0FG1F9aHLXRCOV917xvycTdLdct0w/edit?usp=share_link"",""พะเยา!l199"")+IMPORTRANGE(""https://docs.google.com/spreadsheets/d/1Y"&amp;"9LPKx95PyL5OKy09d-KbKJSuuEZCFdkhYjwC0XQjBA/edit?usp=share_link"",""พิจิตร!l199"")+IMPORTRANGE(""https://docs.google.com/spreadsheets/d/16OMuOwy2eVqZcYWOouQtTpa8X1L23h4660uVHc0C8os/edit?usp=share_link"",""พิษณุโลก!l199"")+IMPORTRANGE(""https://docs.google."&amp;"com/spreadsheets/d/1GfgTldLG6k77HXaMQzaafODklYuucJZQNs_GAPEfZyY/edit?usp=share_link"",""เพชรบูรณ์!l199"")+IMPORTRANGE(""https://docs.google.com/spreadsheets/d/1gvTMYAnm7v1yG1BKWFtr0DnaTsq59oW9dwWvFgq6hs0/edit?usp=share_link"",""แพร่!l199"")+IMPORTRANGE("""&amp;"https://docs.google.com/spreadsheets/d/1Wbcosgy-Xa1xXUArJSOenub6EfZHUSzc_bpJFWwQUf0/edit?usp=share_link"",""แม่ฮ่องสอน!l199"")+IMPORTRANGE(""https://docs.google.com/spreadsheets/d/1p7ERhsr0qZeSn-KSOdeHS9r0heI-lHtkcn2OH7hP0jQ/edit?usp=share_link"",""ลำปาง!"&amp;"l199"")+IMPORTRANGE(""https://docs.google.com/spreadsheets/d/1-uUXvimVhiU2U0bMN-xi2te0tS4X7DI2GLPnMjzl8cA/edit?usp=share_link"",""ลำพูน!l199"")+IMPORTRANGE(""https://docs.google.com/spreadsheets/d/17HrOaa5pBUI1onckFfumXB8xlg35qb2uBAFfF1D-Myo/edit?usp=shar"&amp;"e_link"",""สุโขทัย!l199"")+IMPORTRANGE(""https://docs.google.com/spreadsheets/d/1ubs5cl16eYL9gHbdHTJtmtYb9MGzHBs7CAphn8kNCgM/edit?usp=share_link"",""อุตรดิตถ์!l199"")+IMPORTRANGE(""https://docs.google.com/spreadsheets/d/1kII0BjS6CtVrBvI8IrytgPdxDrlyQDyigz"&amp;"MsohRtDMs/edit?usp=share_link"",""อุทัยธานี!l199"")
"),50000)</f>
        <v>50000</v>
      </c>
      <c r="M199" s="38"/>
      <c r="N199" s="283">
        <f ca="1">IFERROR(__xludf.DUMMYFUNCTION("IMPORTRANGE(""https://docs.google.com/spreadsheets/d/1KxicF4apzSqm0-jIpmueT4kyZtE-Cwn5zskl7GD4loQ/edit?usp=share_link"",""กำแพงเพชร!n199"")+IMPORTRANGE(""https://docs.google.com/spreadsheets/d/1ZNYWeiFoFA1K1U4xKWqRX29MBvEyRHXORjo734Gnq_c/edit?usp=share_li"&amp;"nk"",""เชียงราย!n199"")
+IMPORTRANGE(""https://docs.google.com/spreadsheets/d/1Jgv0Y7YlHDtsiDawwp-uvifEJ8HVaSn0k2aGHG8-hwM/edit?usp=share_link"",""เชียงใหม่!n199"")+IMPORTRANGE(""https://docs.google.com/spreadsheets/d/1JWG2rZePOz9pe-f-ObA-yDr0VoOX2kSb0qIi"&amp;"x2mTUo8/edit?usp=share_link"",""ตาก!n199"")+IMPORTRANGE(""https://docs.google.com/spreadsheets/d/10nSRjK08hx8Y6HgSOQKNw81lyY46Zc7U_Cj72hBMp9U/edit?usp=share_link"",""นครสวรรค์!n199"")+IMPORTRANGE(""https://docs.google.com/spreadsheets/d/1gFVb7qd7amutrIxAA"&amp;"oM7lcy35hllxznovot8lyOfvDo/edit?usp=share_link"",""น่าน!n199"")+IMPORTRANGE(""https://docs.google.com/spreadsheets/d/1K0Aa9s-6EuHE5M0FG1F9aHLXRCOV917xvycTdLdct0w/edit?usp=share_link"",""พะเยา!n199"")+IMPORTRANGE(""https://docs.google.com/spreadsheets/d/1Y"&amp;"9LPKx95PyL5OKy09d-KbKJSuuEZCFdkhYjwC0XQjBA/edit?usp=share_link"",""พิจิตร!n199"")+IMPORTRANGE(""https://docs.google.com/spreadsheets/d/16OMuOwy2eVqZcYWOouQtTpa8X1L23h4660uVHc0C8os/edit?usp=share_link"",""พิษณุโลก!n199"")+IMPORTRANGE(""https://docs.google."&amp;"com/spreadsheets/d/1GfgTldLG6k77HXaMQzaafODklYuucJZQNs_GAPEfZyY/edit?usp=share_link"",""เพชรบูรณ์!n199"")+IMPORTRANGE(""https://docs.google.com/spreadsheets/d/1gvTMYAnm7v1yG1BKWFtr0DnaTsq59oW9dwWvFgq6hs0/edit?usp=share_link"",""แพร่!n199"")+IMPORTRANGE("""&amp;"https://docs.google.com/spreadsheets/d/1Wbcosgy-Xa1xXUArJSOenub6EfZHUSzc_bpJFWwQUf0/edit?usp=share_link"",""แม่ฮ่องสอน!n199"")+IMPORTRANGE(""https://docs.google.com/spreadsheets/d/1p7ERhsr0qZeSn-KSOdeHS9r0heI-lHtkcn2OH7hP0jQ/edit?usp=share_link"",""ลำปาง!"&amp;"n199"")+IMPORTRANGE(""https://docs.google.com/spreadsheets/d/1-uUXvimVhiU2U0bMN-xi2te0tS4X7DI2GLPnMjzl8cA/edit?usp=share_link"",""ลำพูน!n199"")+IMPORTRANGE(""https://docs.google.com/spreadsheets/d/17HrOaa5pBUI1onckFfumXB8xlg35qb2uBAFfF1D-Myo/edit?usp=shar"&amp;"e_link"",""สุโขทัย!n199"")+IMPORTRANGE(""https://docs.google.com/spreadsheets/d/1ubs5cl16eYL9gHbdHTJtmtYb9MGzHBs7CAphn8kNCgM/edit?usp=share_link"",""อุตรดิตถ์!n199"")+IMPORTRANGE(""https://docs.google.com/spreadsheets/d/1kII0BjS6CtVrBvI8IrytgPdxDrlyQDyigz"&amp;"MsohRtDMs/edit?usp=share_link"",""อุทัยธานี!n199"")
"),13725)</f>
        <v>13725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xicF4apzSqm0-jIpmueT4kyZtE-Cwn5zskl7GD4loQ/edit?usp=share_link"",""กำแพงเพชร!l200"")+IMPORTRANGE(""https://docs.google.com/spreadsheets/d/1ZNYWeiFoFA1K1U4xKWqRX29MBvEyRHXORjo734Gnq_c/edit?usp=share_li"&amp;"nk"",""เชียงราย!l200"")
+IMPORTRANGE(""https://docs.google.com/spreadsheets/d/1Jgv0Y7YlHDtsiDawwp-uvifEJ8HVaSn0k2aGHG8-hwM/edit?usp=share_link"",""เชียงใหม่!l200"")+IMPORTRANGE(""https://docs.google.com/spreadsheets/d/1JWG2rZePOz9pe-f-ObA-yDr0VoOX2kSb0qIi"&amp;"x2mTUo8/edit?usp=share_link"",""ตาก!l200"")+IMPORTRANGE(""https://docs.google.com/spreadsheets/d/10nSRjK08hx8Y6HgSOQKNw81lyY46Zc7U_Cj72hBMp9U/edit?usp=share_link"",""นครสวรรค์!l200"")+IMPORTRANGE(""https://docs.google.com/spreadsheets/d/1gFVb7qd7amutrIxAA"&amp;"oM7lcy35hllxznovot8lyOfvDo/edit?usp=share_link"",""น่าน!l200"")+IMPORTRANGE(""https://docs.google.com/spreadsheets/d/1K0Aa9s-6EuHE5M0FG1F9aHLXRCOV917xvycTdLdct0w/edit?usp=share_link"",""พะเยา!l200"")+IMPORTRANGE(""https://docs.google.com/spreadsheets/d/1Y"&amp;"9LPKx95PyL5OKy09d-KbKJSuuEZCFdkhYjwC0XQjBA/edit?usp=share_link"",""พิจิตร!l200"")+IMPORTRANGE(""https://docs.google.com/spreadsheets/d/16OMuOwy2eVqZcYWOouQtTpa8X1L23h4660uVHc0C8os/edit?usp=share_link"",""พิษณุโลก!l200"")+IMPORTRANGE(""https://docs.google."&amp;"com/spreadsheets/d/1GfgTldLG6k77HXaMQzaafODklYuucJZQNs_GAPEfZyY/edit?usp=share_link"",""เพชรบูรณ์!l200"")+IMPORTRANGE(""https://docs.google.com/spreadsheets/d/1gvTMYAnm7v1yG1BKWFtr0DnaTsq59oW9dwWvFgq6hs0/edit?usp=share_link"",""แพร่!l200"")+IMPORTRANGE("""&amp;"https://docs.google.com/spreadsheets/d/1Wbcosgy-Xa1xXUArJSOenub6EfZHUSzc_bpJFWwQUf0/edit?usp=share_link"",""แม่ฮ่องสอน!l200"")+IMPORTRANGE(""https://docs.google.com/spreadsheets/d/1p7ERhsr0qZeSn-KSOdeHS9r0heI-lHtkcn2OH7hP0jQ/edit?usp=share_link"",""ลำปาง!"&amp;"l200"")+IMPORTRANGE(""https://docs.google.com/spreadsheets/d/1-uUXvimVhiU2U0bMN-xi2te0tS4X7DI2GLPnMjzl8cA/edit?usp=share_link"",""ลำพูน!l200"")+IMPORTRANGE(""https://docs.google.com/spreadsheets/d/17HrOaa5pBUI1onckFfumXB8xlg35qb2uBAFfF1D-Myo/edit?usp=shar"&amp;"e_link"",""สุโขทัย!l200"")+IMPORTRANGE(""https://docs.google.com/spreadsheets/d/1ubs5cl16eYL9gHbdHTJtmtYb9MGzHBs7CAphn8kNCgM/edit?usp=share_link"",""อุตรดิตถ์!l200"")+IMPORTRANGE(""https://docs.google.com/spreadsheets/d/1kII0BjS6CtVrBvI8IrytgPdxDrlyQDyigz"&amp;"MsohRtDMs/edit?usp=share_link"",""อุทัยธานี!l200"")
"),400000)</f>
        <v>400000</v>
      </c>
      <c r="M200" s="38"/>
      <c r="N200" s="283">
        <f ca="1">IFERROR(__xludf.DUMMYFUNCTION("IMPORTRANGE(""https://docs.google.com/spreadsheets/d/1KxicF4apzSqm0-jIpmueT4kyZtE-Cwn5zskl7GD4loQ/edit?usp=share_link"",""กำแพงเพชร!n200"")+IMPORTRANGE(""https://docs.google.com/spreadsheets/d/1ZNYWeiFoFA1K1U4xKWqRX29MBvEyRHXORjo734Gnq_c/edit?usp=share_li"&amp;"nk"",""เชียงราย!n200"")
+IMPORTRANGE(""https://docs.google.com/spreadsheets/d/1Jgv0Y7YlHDtsiDawwp-uvifEJ8HVaSn0k2aGHG8-hwM/edit?usp=share_link"",""เชียงใหม่!n200"")+IMPORTRANGE(""https://docs.google.com/spreadsheets/d/1JWG2rZePOz9pe-f-ObA-yDr0VoOX2kSb0qIi"&amp;"x2mTUo8/edit?usp=share_link"",""ตาก!n200"")+IMPORTRANGE(""https://docs.google.com/spreadsheets/d/10nSRjK08hx8Y6HgSOQKNw81lyY46Zc7U_Cj72hBMp9U/edit?usp=share_link"",""นครสวรรค์!n200"")+IMPORTRANGE(""https://docs.google.com/spreadsheets/d/1gFVb7qd7amutrIxAA"&amp;"oM7lcy35hllxznovot8lyOfvDo/edit?usp=share_link"",""น่าน!n200"")+IMPORTRANGE(""https://docs.google.com/spreadsheets/d/1K0Aa9s-6EuHE5M0FG1F9aHLXRCOV917xvycTdLdct0w/edit?usp=share_link"",""พะเยา!n200"")+IMPORTRANGE(""https://docs.google.com/spreadsheets/d/1Y"&amp;"9LPKx95PyL5OKy09d-KbKJSuuEZCFdkhYjwC0XQjBA/edit?usp=share_link"",""พิจิตร!n200"")+IMPORTRANGE(""https://docs.google.com/spreadsheets/d/16OMuOwy2eVqZcYWOouQtTpa8X1L23h4660uVHc0C8os/edit?usp=share_link"",""พิษณุโลก!n200"")+IMPORTRANGE(""https://docs.google."&amp;"com/spreadsheets/d/1GfgTldLG6k77HXaMQzaafODklYuucJZQNs_GAPEfZyY/edit?usp=share_link"",""เพชรบูรณ์!n200"")+IMPORTRANGE(""https://docs.google.com/spreadsheets/d/1gvTMYAnm7v1yG1BKWFtr0DnaTsq59oW9dwWvFgq6hs0/edit?usp=share_link"",""แพร่!n200"")+IMPORTRANGE("""&amp;"https://docs.google.com/spreadsheets/d/1Wbcosgy-Xa1xXUArJSOenub6EfZHUSzc_bpJFWwQUf0/edit?usp=share_link"",""แม่ฮ่องสอน!n200"")+IMPORTRANGE(""https://docs.google.com/spreadsheets/d/1p7ERhsr0qZeSn-KSOdeHS9r0heI-lHtkcn2OH7hP0jQ/edit?usp=share_link"",""ลำปาง!"&amp;"n200"")+IMPORTRANGE(""https://docs.google.com/spreadsheets/d/1-uUXvimVhiU2U0bMN-xi2te0tS4X7DI2GLPnMjzl8cA/edit?usp=share_link"",""ลำพูน!n200"")+IMPORTRANGE(""https://docs.google.com/spreadsheets/d/17HrOaa5pBUI1onckFfumXB8xlg35qb2uBAFfF1D-Myo/edit?usp=shar"&amp;"e_link"",""สุโขทัย!n200"")+IMPORTRANGE(""https://docs.google.com/spreadsheets/d/1ubs5cl16eYL9gHbdHTJtmtYb9MGzHBs7CAphn8kNCgM/edit?usp=share_link"",""อุตรดิตถ์!n200"")+IMPORTRANGE(""https://docs.google.com/spreadsheets/d/1kII0BjS6CtVrBvI8IrytgPdxDrlyQDyigz"&amp;"MsohRtDMs/edit?usp=share_link"",""อุทัยธานี!n200"")
"),245435)</f>
        <v>245435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xicF4apzSqm0-jIpmueT4kyZtE-Cwn5zskl7GD4loQ/edit?usp=share_link"",""กำแพงเพชร!l201"")+IMPORTRANGE(""https://docs.google.com/spreadsheets/d/1ZNYWeiFoFA1K1U4xKWqRX29MBvEyRHXORjo734Gnq_c/edit?usp=share_li"&amp;"nk"",""เชียงราย!l201"")
+IMPORTRANGE(""https://docs.google.com/spreadsheets/d/1Jgv0Y7YlHDtsiDawwp-uvifEJ8HVaSn0k2aGHG8-hwM/edit?usp=share_link"",""เชียงใหม่!l201"")+IMPORTRANGE(""https://docs.google.com/spreadsheets/d/1JWG2rZePOz9pe-f-ObA-yDr0VoOX2kSb0qIi"&amp;"x2mTUo8/edit?usp=share_link"",""ตาก!l201"")+IMPORTRANGE(""https://docs.google.com/spreadsheets/d/10nSRjK08hx8Y6HgSOQKNw81lyY46Zc7U_Cj72hBMp9U/edit?usp=share_link"",""นครสวรรค์!l201"")+IMPORTRANGE(""https://docs.google.com/spreadsheets/d/1gFVb7qd7amutrIxAA"&amp;"oM7lcy35hllxznovot8lyOfvDo/edit?usp=share_link"",""น่าน!l201"")+IMPORTRANGE(""https://docs.google.com/spreadsheets/d/1K0Aa9s-6EuHE5M0FG1F9aHLXRCOV917xvycTdLdct0w/edit?usp=share_link"",""พะเยา!l201"")+IMPORTRANGE(""https://docs.google.com/spreadsheets/d/1Y"&amp;"9LPKx95PyL5OKy09d-KbKJSuuEZCFdkhYjwC0XQjBA/edit?usp=share_link"",""พิจิตร!l201"")+IMPORTRANGE(""https://docs.google.com/spreadsheets/d/16OMuOwy2eVqZcYWOouQtTpa8X1L23h4660uVHc0C8os/edit?usp=share_link"",""พิษณุโลก!l201"")+IMPORTRANGE(""https://docs.google."&amp;"com/spreadsheets/d/1GfgTldLG6k77HXaMQzaafODklYuucJZQNs_GAPEfZyY/edit?usp=share_link"",""เพชรบูรณ์!l201"")+IMPORTRANGE(""https://docs.google.com/spreadsheets/d/1gvTMYAnm7v1yG1BKWFtr0DnaTsq59oW9dwWvFgq6hs0/edit?usp=share_link"",""แพร่!l201"")+IMPORTRANGE("""&amp;"https://docs.google.com/spreadsheets/d/1Wbcosgy-Xa1xXUArJSOenub6EfZHUSzc_bpJFWwQUf0/edit?usp=share_link"",""แม่ฮ่องสอน!l201"")+IMPORTRANGE(""https://docs.google.com/spreadsheets/d/1p7ERhsr0qZeSn-KSOdeHS9r0heI-lHtkcn2OH7hP0jQ/edit?usp=share_link"",""ลำปาง!"&amp;"l201"")+IMPORTRANGE(""https://docs.google.com/spreadsheets/d/1-uUXvimVhiU2U0bMN-xi2te0tS4X7DI2GLPnMjzl8cA/edit?usp=share_link"",""ลำพูน!l201"")+IMPORTRANGE(""https://docs.google.com/spreadsheets/d/17HrOaa5pBUI1onckFfumXB8xlg35qb2uBAFfF1D-Myo/edit?usp=shar"&amp;"e_link"",""สุโขทัย!l201"")+IMPORTRANGE(""https://docs.google.com/spreadsheets/d/1ubs5cl16eYL9gHbdHTJtmtYb9MGzHBs7CAphn8kNCgM/edit?usp=share_link"",""อุตรดิตถ์!l201"")+IMPORTRANGE(""https://docs.google.com/spreadsheets/d/1kII0BjS6CtVrBvI8IrytgPdxDrlyQDyigz"&amp;"MsohRtDMs/edit?usp=share_link"",""อุทัยธานี!l201"")
"),200000)</f>
        <v>200000</v>
      </c>
      <c r="M201" s="38"/>
      <c r="N201" s="283">
        <f ca="1">IFERROR(__xludf.DUMMYFUNCTION("IMPORTRANGE(""https://docs.google.com/spreadsheets/d/1KxicF4apzSqm0-jIpmueT4kyZtE-Cwn5zskl7GD4loQ/edit?usp=share_link"",""กำแพงเพชร!N201"")+IMPORTRANGE(""https://docs.google.com/spreadsheets/d/1ZNYWeiFoFA1K1U4xKWqRX29MBvEyRHXORjo734Gnq_c/edit?usp=share_li"&amp;"nk"",""เชียงราย!N201"")
+IMPORTRANGE(""https://docs.google.com/spreadsheets/d/1Jgv0Y7YlHDtsiDawwp-uvifEJ8HVaSn0k2aGHG8-hwM/edit?usp=share_link"",""เชียงใหม่!N201"")+IMPORTRANGE(""https://docs.google.com/spreadsheets/d/1JWG2rZePOz9pe-f-ObA-yDr0VoOX2kSb0qIi"&amp;"x2mTUo8/edit?usp=share_link"",""ตาก!N201"")+IMPORTRANGE(""https://docs.google.com/spreadsheets/d/10nSRjK08hx8Y6HgSOQKNw81lyY46Zc7U_Cj72hBMp9U/edit?usp=share_link"",""นครสวรรค์!N201"")+IMPORTRANGE(""https://docs.google.com/spreadsheets/d/1gFVb7qd7amutrIxAA"&amp;"oM7lcy35hllxznovot8lyOfvDo/edit?usp=share_link"",""น่าน!N201"")+IMPORTRANGE(""https://docs.google.com/spreadsheets/d/1K0Aa9s-6EuHE5M0FG1F9aHLXRCOV917xvycTdLdct0w/edit?usp=share_link"",""พะเยา!N201"")+IMPORTRANGE(""https://docs.google.com/spreadsheets/d/1Y"&amp;"9LPKx95PyL5OKy09d-KbKJSuuEZCFdkhYjwC0XQjBA/edit?usp=share_link"",""พิจิตร!N201"")+IMPORTRANGE(""https://docs.google.com/spreadsheets/d/16OMuOwy2eVqZcYWOouQtTpa8X1L23h4660uVHc0C8os/edit?usp=share_link"",""พิษณุโลก!N201"")+IMPORTRANGE(""https://docs.google."&amp;"com/spreadsheets/d/1GfgTldLG6k77HXaMQzaafODklYuucJZQNs_GAPEfZyY/edit?usp=share_link"",""เพชรบูรณ์!N201"")+IMPORTRANGE(""https://docs.google.com/spreadsheets/d/1gvTMYAnm7v1yG1BKWFtr0DnaTsq59oW9dwWvFgq6hs0/edit?usp=share_link"",""แพร่!N201"")+IMPORTRANGE("""&amp;"https://docs.google.com/spreadsheets/d/1Wbcosgy-Xa1xXUArJSOenub6EfZHUSzc_bpJFWwQUf0/edit?usp=share_link"",""แม่ฮ่องสอน!N201"")+IMPORTRANGE(""https://docs.google.com/spreadsheets/d/1p7ERhsr0qZeSn-KSOdeHS9r0heI-lHtkcn2OH7hP0jQ/edit?usp=share_link"",""ลำปาง!"&amp;"N201"")+IMPORTRANGE(""https://docs.google.com/spreadsheets/d/1-uUXvimVhiU2U0bMN-xi2te0tS4X7DI2GLPnMjzl8cA/edit?usp=share_link"",""ลำพูน!N201"")+IMPORTRANGE(""https://docs.google.com/spreadsheets/d/17HrOaa5pBUI1onckFfumXB8xlg35qb2uBAFfF1D-Myo/edit?usp=shar"&amp;"e_link"",""สุโขทัย!N201"")+IMPORTRANGE(""https://docs.google.com/spreadsheets/d/1ubs5cl16eYL9gHbdHTJtmtYb9MGzHBs7CAphn8kNCgM/edit?usp=share_link"",""อุตรดิตถ์!N201"")+IMPORTRANGE(""https://docs.google.com/spreadsheets/d/1kII0BjS6CtVrBvI8IrytgPdxDrlyQDyigz"&amp;"MsohRtDMs/edit?usp=share_link"",""อุทัยธานี!N201"")
"),6885)</f>
        <v>6885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xicF4apzSqm0-jIpmueT4kyZtE-Cwn5zskl7GD4loQ/edit?usp=share_link"",""กำแพงเพชร!l202"")+IMPORTRANGE(""https://docs.google.com/spreadsheets/d/1ZNYWeiFoFA1K1U4xKWqRX29MBvEyRHXORjo734Gnq_c/edit?usp=share_li"&amp;"nk"",""เชียงราย!l202"")
+IMPORTRANGE(""https://docs.google.com/spreadsheets/d/1Jgv0Y7YlHDtsiDawwp-uvifEJ8HVaSn0k2aGHG8-hwM/edit?usp=share_link"",""เชียงใหม่!l202"")+IMPORTRANGE(""https://docs.google.com/spreadsheets/d/1JWG2rZePOz9pe-f-ObA-yDr0VoOX2kSb0qIi"&amp;"x2mTUo8/edit?usp=share_link"",""ตาก!l202"")+IMPORTRANGE(""https://docs.google.com/spreadsheets/d/10nSRjK08hx8Y6HgSOQKNw81lyY46Zc7U_Cj72hBMp9U/edit?usp=share_link"",""นครสวรรค์!l202"")+IMPORTRANGE(""https://docs.google.com/spreadsheets/d/1gFVb7qd7amutrIxAA"&amp;"oM7lcy35hllxznovot8lyOfvDo/edit?usp=share_link"",""น่าน!l202"")+IMPORTRANGE(""https://docs.google.com/spreadsheets/d/1K0Aa9s-6EuHE5M0FG1F9aHLXRCOV917xvycTdLdct0w/edit?usp=share_link"",""พะเยา!l202"")+IMPORTRANGE(""https://docs.google.com/spreadsheets/d/1Y"&amp;"9LPKx95PyL5OKy09d-KbKJSuuEZCFdkhYjwC0XQjBA/edit?usp=share_link"",""พิจิตร!l202"")+IMPORTRANGE(""https://docs.google.com/spreadsheets/d/16OMuOwy2eVqZcYWOouQtTpa8X1L23h4660uVHc0C8os/edit?usp=share_link"",""พิษณุโลก!l202"")+IMPORTRANGE(""https://docs.google."&amp;"com/spreadsheets/d/1GfgTldLG6k77HXaMQzaafODklYuucJZQNs_GAPEfZyY/edit?usp=share_link"",""เพชรบูรณ์!l202"")+IMPORTRANGE(""https://docs.google.com/spreadsheets/d/1gvTMYAnm7v1yG1BKWFtr0DnaTsq59oW9dwWvFgq6hs0/edit?usp=share_link"",""แพร่!l202"")+IMPORTRANGE("""&amp;"https://docs.google.com/spreadsheets/d/1Wbcosgy-Xa1xXUArJSOenub6EfZHUSzc_bpJFWwQUf0/edit?usp=share_link"",""แม่ฮ่องสอน!l202"")+IMPORTRANGE(""https://docs.google.com/spreadsheets/d/1p7ERhsr0qZeSn-KSOdeHS9r0heI-lHtkcn2OH7hP0jQ/edit?usp=share_link"",""ลำปาง!"&amp;"l202"")+IMPORTRANGE(""https://docs.google.com/spreadsheets/d/1-uUXvimVhiU2U0bMN-xi2te0tS4X7DI2GLPnMjzl8cA/edit?usp=share_link"",""ลำพูน!l202"")+IMPORTRANGE(""https://docs.google.com/spreadsheets/d/17HrOaa5pBUI1onckFfumXB8xlg35qb2uBAFfF1D-Myo/edit?usp=shar"&amp;"e_link"",""สุโขทัย!l202"")+IMPORTRANGE(""https://docs.google.com/spreadsheets/d/1ubs5cl16eYL9gHbdHTJtmtYb9MGzHBs7CAphn8kNCgM/edit?usp=share_link"",""อุตรดิตถ์!l202"")+IMPORTRANGE(""https://docs.google.com/spreadsheets/d/1kII0BjS6CtVrBvI8IrytgPdxDrlyQDyigz"&amp;"MsohRtDMs/edit?usp=share_link"",""อุทัยธานี!l202"")
"),15000)</f>
        <v>15000</v>
      </c>
      <c r="M202" s="38"/>
      <c r="N202" s="283">
        <f ca="1">IFERROR(__xludf.DUMMYFUNCTION("IMPORTRANGE(""https://docs.google.com/spreadsheets/d/1KxicF4apzSqm0-jIpmueT4kyZtE-Cwn5zskl7GD4loQ/edit?usp=share_link"",""กำแพงเพชร!n202"")+IMPORTRANGE(""https://docs.google.com/spreadsheets/d/1ZNYWeiFoFA1K1U4xKWqRX29MBvEyRHXORjo734Gnq_c/edit?usp=share_li"&amp;"nk"",""เชียงราย!n202"")
+IMPORTRANGE(""https://docs.google.com/spreadsheets/d/1Jgv0Y7YlHDtsiDawwp-uvifEJ8HVaSn0k2aGHG8-hwM/edit?usp=share_link"",""เชียงใหม่!n202"")+IMPORTRANGE(""https://docs.google.com/spreadsheets/d/1JWG2rZePOz9pe-f-ObA-yDr0VoOX2kSb0qIi"&amp;"x2mTUo8/edit?usp=share_link"",""ตาก!n202"")+IMPORTRANGE(""https://docs.google.com/spreadsheets/d/10nSRjK08hx8Y6HgSOQKNw81lyY46Zc7U_Cj72hBMp9U/edit?usp=share_link"",""นครสวรรค์!n202"")+IMPORTRANGE(""https://docs.google.com/spreadsheets/d/1gFVb7qd7amutrIxAA"&amp;"oM7lcy35hllxznovot8lyOfvDo/edit?usp=share_link"",""น่าน!n202"")+IMPORTRANGE(""https://docs.google.com/spreadsheets/d/1K0Aa9s-6EuHE5M0FG1F9aHLXRCOV917xvycTdLdct0w/edit?usp=share_link"",""พะเยา!n202"")+IMPORTRANGE(""https://docs.google.com/spreadsheets/d/1Y"&amp;"9LPKx95PyL5OKy09d-KbKJSuuEZCFdkhYjwC0XQjBA/edit?usp=share_link"",""พิจิตร!n202"")+IMPORTRANGE(""https://docs.google.com/spreadsheets/d/16OMuOwy2eVqZcYWOouQtTpa8X1L23h4660uVHc0C8os/edit?usp=share_link"",""พิษณุโลก!n202"")+IMPORTRANGE(""https://docs.google."&amp;"com/spreadsheets/d/1GfgTldLG6k77HXaMQzaafODklYuucJZQNs_GAPEfZyY/edit?usp=share_link"",""เพชรบูรณ์!n202"")+IMPORTRANGE(""https://docs.google.com/spreadsheets/d/1gvTMYAnm7v1yG1BKWFtr0DnaTsq59oW9dwWvFgq6hs0/edit?usp=share_link"",""แพร่!n202"")+IMPORTRANGE("""&amp;"https://docs.google.com/spreadsheets/d/1Wbcosgy-Xa1xXUArJSOenub6EfZHUSzc_bpJFWwQUf0/edit?usp=share_link"",""แม่ฮ่องสอน!n202"")+IMPORTRANGE(""https://docs.google.com/spreadsheets/d/1p7ERhsr0qZeSn-KSOdeHS9r0heI-lHtkcn2OH7hP0jQ/edit?usp=share_link"",""ลำปาง!"&amp;"n202"")+IMPORTRANGE(""https://docs.google.com/spreadsheets/d/1-uUXvimVhiU2U0bMN-xi2te0tS4X7DI2GLPnMjzl8cA/edit?usp=share_link"",""ลำพูน!n202"")+IMPORTRANGE(""https://docs.google.com/spreadsheets/d/17HrOaa5pBUI1onckFfumXB8xlg35qb2uBAFfF1D-Myo/edit?usp=shar"&amp;"e_link"",""สุโขทัย!n202"")+IMPORTRANGE(""https://docs.google.com/spreadsheets/d/1ubs5cl16eYL9gHbdHTJtmtYb9MGzHBs7CAphn8kNCgM/edit?usp=share_link"",""อุตรดิตถ์!n202"")+IMPORTRANGE(""https://docs.google.com/spreadsheets/d/1kII0BjS6CtVrBvI8IrytgPdxDrlyQDyigz"&amp;"MsohRtDMs/edit?usp=share_link"",""อุทัยธานี!n202"")
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xicF4apzSqm0-jIpmueT4kyZtE-Cwn5zskl7GD4loQ/edit?usp=share_link"",""กำแพงเพชร!I204"")+IMPORTRANGE(""https://docs.google.com/spreadsheets/d/1ZNYWeiFoFA1K1U4xKWqRX29MBvEyRHXORjo734Gnq_c/edit?usp=share_li"&amp;"nk"",""เชียงราย!I204"")
+IMPORTRANGE(""https://docs.google.com/spreadsheets/d/1Jgv0Y7YlHDtsiDawwp-uvifEJ8HVaSn0k2aGHG8-hwM/edit?usp=share_link"",""เชียงใหม่!I204"")+IMPORTRANGE(""https://docs.google.com/spreadsheets/d/1JWG2rZePOz9pe-f-ObA-yDr0VoOX2kSb0qIi"&amp;"x2mTUo8/edit?usp=share_link"",""ตาก!I204"")+IMPORTRANGE(""https://docs.google.com/spreadsheets/d/10nSRjK08hx8Y6HgSOQKNw81lyY46Zc7U_Cj72hBMp9U/edit?usp=share_link"",""นครสวรรค์!I204"")+IMPORTRANGE(""https://docs.google.com/spreadsheets/d/1gFVb7qd7amutrIxAA"&amp;"oM7lcy35hllxznovot8lyOfvDo/edit?usp=share_link"",""น่าน!I204"")+IMPORTRANGE(""https://docs.google.com/spreadsheets/d/1K0Aa9s-6EuHE5M0FG1F9aHLXRCOV917xvycTdLdct0w/edit?usp=share_link"",""พะเยา!I204"")+IMPORTRANGE(""https://docs.google.com/spreadsheets/d/1Y"&amp;"9LPKx95PyL5OKy09d-KbKJSuuEZCFdkhYjwC0XQjBA/edit?usp=share_link"",""พิจิตร!I204"")+IMPORTRANGE(""https://docs.google.com/spreadsheets/d/16OMuOwy2eVqZcYWOouQtTpa8X1L23h4660uVHc0C8os/edit?usp=share_link"",""พิษณุโลก!I204"")+IMPORTRANGE(""https://docs.google."&amp;"com/spreadsheets/d/1GfgTldLG6k77HXaMQzaafODklYuucJZQNs_GAPEfZyY/edit?usp=share_link"",""เพชรบูรณ์!I204"")+IMPORTRANGE(""https://docs.google.com/spreadsheets/d/1gvTMYAnm7v1yG1BKWFtr0DnaTsq59oW9dwWvFgq6hs0/edit?usp=share_link"",""แพร่!I204"")+IMPORTRANGE("""&amp;"https://docs.google.com/spreadsheets/d/1Wbcosgy-Xa1xXUArJSOenub6EfZHUSzc_bpJFWwQUf0/edit?usp=share_link"",""แม่ฮ่องสอน!I204"")+IMPORTRANGE(""https://docs.google.com/spreadsheets/d/1p7ERhsr0qZeSn-KSOdeHS9r0heI-lHtkcn2OH7hP0jQ/edit?usp=share_link"",""ลำปาง!"&amp;"I204"")+IMPORTRANGE(""https://docs.google.com/spreadsheets/d/1-uUXvimVhiU2U0bMN-xi2te0tS4X7DI2GLPnMjzl8cA/edit?usp=share_link"",""ลำพูน!I204"")+IMPORTRANGE(""https://docs.google.com/spreadsheets/d/17HrOaa5pBUI1onckFfumXB8xlg35qb2uBAFfF1D-Myo/edit?usp=shar"&amp;"e_link"",""สุโขทัย!I204"")+IMPORTRANGE(""https://docs.google.com/spreadsheets/d/1ubs5cl16eYL9gHbdHTJtmtYb9MGzHBs7CAphn8kNCgM/edit?usp=share_link"",""อุตรดิตถ์!I204"")+IMPORTRANGE(""https://docs.google.com/spreadsheets/d/1kII0BjS6CtVrBvI8IrytgPdxDrlyQDyigz"&amp;"MsohRtDMs/edit?usp=share_link"",""อุทัยธานี!I204"")
"),50)</f>
        <v>50</v>
      </c>
      <c r="J204" s="183">
        <f ca="1">IFERROR(__xludf.DUMMYFUNCTION("IMPORTRANGE(""https://docs.google.com/spreadsheets/d/1KxicF4apzSqm0-jIpmueT4kyZtE-Cwn5zskl7GD4loQ/edit?usp=share_link"",""กำแพงเพชร!J204"")+IMPORTRANGE(""https://docs.google.com/spreadsheets/d/1ZNYWeiFoFA1K1U4xKWqRX29MBvEyRHXORjo734Gnq_c/edit?usp=share_li"&amp;"nk"",""เชียงราย!J204"")
+IMPORTRANGE(""https://docs.google.com/spreadsheets/d/1Jgv0Y7YlHDtsiDawwp-uvifEJ8HVaSn0k2aGHG8-hwM/edit?usp=share_link"",""เชียงใหม่!J204"")+IMPORTRANGE(""https://docs.google.com/spreadsheets/d/1JWG2rZePOz9pe-f-ObA-yDr0VoOX2kSb0qIi"&amp;"x2mTUo8/edit?usp=share_link"",""ตาก!J204"")+IMPORTRANGE(""https://docs.google.com/spreadsheets/d/10nSRjK08hx8Y6HgSOQKNw81lyY46Zc7U_Cj72hBMp9U/edit?usp=share_link"",""นครสวรรค์!J204"")+IMPORTRANGE(""https://docs.google.com/spreadsheets/d/1gFVb7qd7amutrIxAA"&amp;"oM7lcy35hllxznovot8lyOfvDo/edit?usp=share_link"",""น่าน!J204"")+IMPORTRANGE(""https://docs.google.com/spreadsheets/d/1K0Aa9s-6EuHE5M0FG1F9aHLXRCOV917xvycTdLdct0w/edit?usp=share_link"",""พะเยา!J204"")+IMPORTRANGE(""https://docs.google.com/spreadsheets/d/1Y"&amp;"9LPKx95PyL5OKy09d-KbKJSuuEZCFdkhYjwC0XQjBA/edit?usp=share_link"",""พิจิตร!J204"")+IMPORTRANGE(""https://docs.google.com/spreadsheets/d/16OMuOwy2eVqZcYWOouQtTpa8X1L23h4660uVHc0C8os/edit?usp=share_link"",""พิษณุโลก!J204"")+IMPORTRANGE(""https://docs.google."&amp;"com/spreadsheets/d/1GfgTldLG6k77HXaMQzaafODklYuucJZQNs_GAPEfZyY/edit?usp=share_link"",""เพชรบูรณ์!J204"")+IMPORTRANGE(""https://docs.google.com/spreadsheets/d/1gvTMYAnm7v1yG1BKWFtr0DnaTsq59oW9dwWvFgq6hs0/edit?usp=share_link"",""แพร่!J204"")+IMPORTRANGE("""&amp;"https://docs.google.com/spreadsheets/d/1Wbcosgy-Xa1xXUArJSOenub6EfZHUSzc_bpJFWwQUf0/edit?usp=share_link"",""แม่ฮ่องสอน!J204"")+IMPORTRANGE(""https://docs.google.com/spreadsheets/d/1p7ERhsr0qZeSn-KSOdeHS9r0heI-lHtkcn2OH7hP0jQ/edit?usp=share_link"",""ลำปาง!"&amp;"J204"")+IMPORTRANGE(""https://docs.google.com/spreadsheets/d/1-uUXvimVhiU2U0bMN-xi2te0tS4X7DI2GLPnMjzl8cA/edit?usp=share_link"",""ลำพูน!J204"")+IMPORTRANGE(""https://docs.google.com/spreadsheets/d/17HrOaa5pBUI1onckFfumXB8xlg35qb2uBAFfF1D-Myo/edit?usp=shar"&amp;"e_link"",""สุโขทัย!J204"")+IMPORTRANGE(""https://docs.google.com/spreadsheets/d/1ubs5cl16eYL9gHbdHTJtmtYb9MGzHBs7CAphn8kNCgM/edit?usp=share_link"",""อุตรดิตถ์!J204"")+IMPORTRANGE(""https://docs.google.com/spreadsheets/d/1kII0BjS6CtVrBvI8IrytgPdxDrlyQDyigz"&amp;"MsohRtDMs/edit?usp=share_link"",""อุทัยธานี!J204"")
"),32)</f>
        <v>32</v>
      </c>
      <c r="K204" s="163">
        <f ca="1">IF(I204&gt;0,J204*100/I204,0)</f>
        <v>64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xicF4apzSqm0-jIpmueT4kyZtE-Cwn5zskl7GD4loQ/edit?usp=share_link"",""กำแพงเพชร!I206"")+IMPORTRANGE(""https://docs.google.com/spreadsheets/d/1ZNYWeiFoFA1K1U4xKWqRX29MBvEyRHXORjo734Gnq_c/edit?usp=share_li"&amp;"nk"",""เชียงราย!I206"")
+IMPORTRANGE(""https://docs.google.com/spreadsheets/d/1Jgv0Y7YlHDtsiDawwp-uvifEJ8HVaSn0k2aGHG8-hwM/edit?usp=share_link"",""เชียงใหม่!I206"")+IMPORTRANGE(""https://docs.google.com/spreadsheets/d/1JWG2rZePOz9pe-f-ObA-yDr0VoOX2kSb0qIi"&amp;"x2mTUo8/edit?usp=share_link"",""ตาก!I206"")+IMPORTRANGE(""https://docs.google.com/spreadsheets/d/10nSRjK08hx8Y6HgSOQKNw81lyY46Zc7U_Cj72hBMp9U/edit?usp=share_link"",""นครสวรรค์!I206"")+IMPORTRANGE(""https://docs.google.com/spreadsheets/d/1gFVb7qd7amutrIxAA"&amp;"oM7lcy35hllxznovot8lyOfvDo/edit?usp=share_link"",""น่าน!I206"")+IMPORTRANGE(""https://docs.google.com/spreadsheets/d/1K0Aa9s-6EuHE5M0FG1F9aHLXRCOV917xvycTdLdct0w/edit?usp=share_link"",""พะเยา!I206"")+IMPORTRANGE(""https://docs.google.com/spreadsheets/d/1Y"&amp;"9LPKx95PyL5OKy09d-KbKJSuuEZCFdkhYjwC0XQjBA/edit?usp=share_link"",""พิจิตร!I206"")+IMPORTRANGE(""https://docs.google.com/spreadsheets/d/16OMuOwy2eVqZcYWOouQtTpa8X1L23h4660uVHc0C8os/edit?usp=share_link"",""พิษณุโลก!I206"")+IMPORTRANGE(""https://docs.google."&amp;"com/spreadsheets/d/1GfgTldLG6k77HXaMQzaafODklYuucJZQNs_GAPEfZyY/edit?usp=share_link"",""เพชรบูรณ์!I206"")+IMPORTRANGE(""https://docs.google.com/spreadsheets/d/1gvTMYAnm7v1yG1BKWFtr0DnaTsq59oW9dwWvFgq6hs0/edit?usp=share_link"",""แพร่!I206"")+IMPORTRANGE("""&amp;"https://docs.google.com/spreadsheets/d/1Wbcosgy-Xa1xXUArJSOenub6EfZHUSzc_bpJFWwQUf0/edit?usp=share_link"",""แม่ฮ่องสอน!I206"")+IMPORTRANGE(""https://docs.google.com/spreadsheets/d/1p7ERhsr0qZeSn-KSOdeHS9r0heI-lHtkcn2OH7hP0jQ/edit?usp=share_link"",""ลำปาง!"&amp;"I206"")+IMPORTRANGE(""https://docs.google.com/spreadsheets/d/1-uUXvimVhiU2U0bMN-xi2te0tS4X7DI2GLPnMjzl8cA/edit?usp=share_link"",""ลำพูน!I206"")+IMPORTRANGE(""https://docs.google.com/spreadsheets/d/17HrOaa5pBUI1onckFfumXB8xlg35qb2uBAFfF1D-Myo/edit?usp=shar"&amp;"e_link"",""สุโขทัย!I206"")+IMPORTRANGE(""https://docs.google.com/spreadsheets/d/1ubs5cl16eYL9gHbdHTJtmtYb9MGzHBs7CAphn8kNCgM/edit?usp=share_link"",""อุตรดิตถ์!I206"")+IMPORTRANGE(""https://docs.google.com/spreadsheets/d/1kII0BjS6CtVrBvI8IrytgPdxDrlyQDyigz"&amp;"MsohRtDMs/edit?usp=share_link"",""อุทัยธานี!I206"")
"),50)</f>
        <v>50</v>
      </c>
      <c r="J206" s="183">
        <f ca="1">IFERROR(__xludf.DUMMYFUNCTION("IMPORTRANGE(""https://docs.google.com/spreadsheets/d/1KxicF4apzSqm0-jIpmueT4kyZtE-Cwn5zskl7GD4loQ/edit?usp=share_link"",""กำแพงเพชร!J206"")+IMPORTRANGE(""https://docs.google.com/spreadsheets/d/1ZNYWeiFoFA1K1U4xKWqRX29MBvEyRHXORjo734Gnq_c/edit?usp=share_li"&amp;"nk"",""เชียงราย!J206"")
+IMPORTRANGE(""https://docs.google.com/spreadsheets/d/1Jgv0Y7YlHDtsiDawwp-uvifEJ8HVaSn0k2aGHG8-hwM/edit?usp=share_link"",""เชียงใหม่!J206"")+IMPORTRANGE(""https://docs.google.com/spreadsheets/d/1JWG2rZePOz9pe-f-ObA-yDr0VoOX2kSb0qIi"&amp;"x2mTUo8/edit?usp=share_link"",""ตาก!J206"")+IMPORTRANGE(""https://docs.google.com/spreadsheets/d/10nSRjK08hx8Y6HgSOQKNw81lyY46Zc7U_Cj72hBMp9U/edit?usp=share_link"",""นครสวรรค์!J206"")+IMPORTRANGE(""https://docs.google.com/spreadsheets/d/1gFVb7qd7amutrIxAA"&amp;"oM7lcy35hllxznovot8lyOfvDo/edit?usp=share_link"",""น่าน!J206"")+IMPORTRANGE(""https://docs.google.com/spreadsheets/d/1K0Aa9s-6EuHE5M0FG1F9aHLXRCOV917xvycTdLdct0w/edit?usp=share_link"",""พะเยา!J206"")+IMPORTRANGE(""https://docs.google.com/spreadsheets/d/1Y"&amp;"9LPKx95PyL5OKy09d-KbKJSuuEZCFdkhYjwC0XQjBA/edit?usp=share_link"",""พิจิตร!J206"")+IMPORTRANGE(""https://docs.google.com/spreadsheets/d/16OMuOwy2eVqZcYWOouQtTpa8X1L23h4660uVHc0C8os/edit?usp=share_link"",""พิษณุโลก!J206"")+IMPORTRANGE(""https://docs.google."&amp;"com/spreadsheets/d/1GfgTldLG6k77HXaMQzaafODklYuucJZQNs_GAPEfZyY/edit?usp=share_link"",""เพชรบูรณ์!J206"")+IMPORTRANGE(""https://docs.google.com/spreadsheets/d/1gvTMYAnm7v1yG1BKWFtr0DnaTsq59oW9dwWvFgq6hs0/edit?usp=share_link"",""แพร่!J206"")+IMPORTRANGE("""&amp;"https://docs.google.com/spreadsheets/d/1Wbcosgy-Xa1xXUArJSOenub6EfZHUSzc_bpJFWwQUf0/edit?usp=share_link"",""แม่ฮ่องสอน!J206"")+IMPORTRANGE(""https://docs.google.com/spreadsheets/d/1p7ERhsr0qZeSn-KSOdeHS9r0heI-lHtkcn2OH7hP0jQ/edit?usp=share_link"",""ลำปาง!"&amp;"J206"")+IMPORTRANGE(""https://docs.google.com/spreadsheets/d/1-uUXvimVhiU2U0bMN-xi2te0tS4X7DI2GLPnMjzl8cA/edit?usp=share_link"",""ลำพูน!J206"")+IMPORTRANGE(""https://docs.google.com/spreadsheets/d/17HrOaa5pBUI1onckFfumXB8xlg35qb2uBAFfF1D-Myo/edit?usp=shar"&amp;"e_link"",""สุโขทัย!J206"")+IMPORTRANGE(""https://docs.google.com/spreadsheets/d/1ubs5cl16eYL9gHbdHTJtmtYb9MGzHBs7CAphn8kNCgM/edit?usp=share_link"",""อุตรดิตถ์!J206"")+IMPORTRANGE(""https://docs.google.com/spreadsheets/d/1kII0BjS6CtVrBvI8IrytgPdxDrlyQDyigz"&amp;"MsohRtDMs/edit?usp=share_link"",""อุทัยธานี!J206"")
"),17)</f>
        <v>17</v>
      </c>
      <c r="K206" s="163">
        <f t="shared" ref="K206:K208" ca="1" si="122">IF(I206&gt;0,J206*100/I206,0)</f>
        <v>34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xicF4apzSqm0-jIpmueT4kyZtE-Cwn5zskl7GD4loQ/edit?usp=share_link"",""กำแพงเพชร!I207"")+IMPORTRANGE(""https://docs.google.com/spreadsheets/d/1ZNYWeiFoFA1K1U4xKWqRX29MBvEyRHXORjo734Gnq_c/edit?usp=share_li"&amp;"nk"",""เชียงราย!I207"")
+IMPORTRANGE(""https://docs.google.com/spreadsheets/d/1Jgv0Y7YlHDtsiDawwp-uvifEJ8HVaSn0k2aGHG8-hwM/edit?usp=share_link"",""เชียงใหม่!I207"")+IMPORTRANGE(""https://docs.google.com/spreadsheets/d/1JWG2rZePOz9pe-f-ObA-yDr0VoOX2kSb0qIi"&amp;"x2mTUo8/edit?usp=share_link"",""ตาก!I207"")+IMPORTRANGE(""https://docs.google.com/spreadsheets/d/10nSRjK08hx8Y6HgSOQKNw81lyY46Zc7U_Cj72hBMp9U/edit?usp=share_link"",""นครสวรรค์!I207"")+IMPORTRANGE(""https://docs.google.com/spreadsheets/d/1gFVb7qd7amutrIxAA"&amp;"oM7lcy35hllxznovot8lyOfvDo/edit?usp=share_link"",""น่าน!I207"")+IMPORTRANGE(""https://docs.google.com/spreadsheets/d/1K0Aa9s-6EuHE5M0FG1F9aHLXRCOV917xvycTdLdct0w/edit?usp=share_link"",""พะเยา!I207"")+IMPORTRANGE(""https://docs.google.com/spreadsheets/d/1Y"&amp;"9LPKx95PyL5OKy09d-KbKJSuuEZCFdkhYjwC0XQjBA/edit?usp=share_link"",""พิจิตร!I207"")+IMPORTRANGE(""https://docs.google.com/spreadsheets/d/16OMuOwy2eVqZcYWOouQtTpa8X1L23h4660uVHc0C8os/edit?usp=share_link"",""พิษณุโลก!I207"")+IMPORTRANGE(""https://docs.google."&amp;"com/spreadsheets/d/1GfgTldLG6k77HXaMQzaafODklYuucJZQNs_GAPEfZyY/edit?usp=share_link"",""เพชรบูรณ์!I207"")+IMPORTRANGE(""https://docs.google.com/spreadsheets/d/1gvTMYAnm7v1yG1BKWFtr0DnaTsq59oW9dwWvFgq6hs0/edit?usp=share_link"",""แพร่!I207"")+IMPORTRANGE("""&amp;"https://docs.google.com/spreadsheets/d/1Wbcosgy-Xa1xXUArJSOenub6EfZHUSzc_bpJFWwQUf0/edit?usp=share_link"",""แม่ฮ่องสอน!I207"")+IMPORTRANGE(""https://docs.google.com/spreadsheets/d/1p7ERhsr0qZeSn-KSOdeHS9r0heI-lHtkcn2OH7hP0jQ/edit?usp=share_link"",""ลำปาง!"&amp;"I207"")+IMPORTRANGE(""https://docs.google.com/spreadsheets/d/1-uUXvimVhiU2U0bMN-xi2te0tS4X7DI2GLPnMjzl8cA/edit?usp=share_link"",""ลำพูน!I207"")+IMPORTRANGE(""https://docs.google.com/spreadsheets/d/17HrOaa5pBUI1onckFfumXB8xlg35qb2uBAFfF1D-Myo/edit?usp=shar"&amp;"e_link"",""สุโขทัย!I207"")+IMPORTRANGE(""https://docs.google.com/spreadsheets/d/1ubs5cl16eYL9gHbdHTJtmtYb9MGzHBs7CAphn8kNCgM/edit?usp=share_link"",""อุตรดิตถ์!I207"")+IMPORTRANGE(""https://docs.google.com/spreadsheets/d/1kII0BjS6CtVrBvI8IrytgPdxDrlyQDyigz"&amp;"MsohRtDMs/edit?usp=share_link"",""อุทัยธานี!I207"")
"),3)</f>
        <v>3</v>
      </c>
      <c r="J207" s="183">
        <f ca="1">IFERROR(__xludf.DUMMYFUNCTION("IMPORTRANGE(""https://docs.google.com/spreadsheets/d/1KxicF4apzSqm0-jIpmueT4kyZtE-Cwn5zskl7GD4loQ/edit?usp=share_link"",""กำแพงเพชร!J207"")+IMPORTRANGE(""https://docs.google.com/spreadsheets/d/1ZNYWeiFoFA1K1U4xKWqRX29MBvEyRHXORjo734Gnq_c/edit?usp=share_li"&amp;"nk"",""เชียงราย!J207"")
+IMPORTRANGE(""https://docs.google.com/spreadsheets/d/1Jgv0Y7YlHDtsiDawwp-uvifEJ8HVaSn0k2aGHG8-hwM/edit?usp=share_link"",""เชียงใหม่!J207"")+IMPORTRANGE(""https://docs.google.com/spreadsheets/d/1JWG2rZePOz9pe-f-ObA-yDr0VoOX2kSb0qIi"&amp;"x2mTUo8/edit?usp=share_link"",""ตาก!J207"")+IMPORTRANGE(""https://docs.google.com/spreadsheets/d/10nSRjK08hx8Y6HgSOQKNw81lyY46Zc7U_Cj72hBMp9U/edit?usp=share_link"",""นครสวรรค์!J207"")+IMPORTRANGE(""https://docs.google.com/spreadsheets/d/1gFVb7qd7amutrIxAA"&amp;"oM7lcy35hllxznovot8lyOfvDo/edit?usp=share_link"",""น่าน!J207"")+IMPORTRANGE(""https://docs.google.com/spreadsheets/d/1K0Aa9s-6EuHE5M0FG1F9aHLXRCOV917xvycTdLdct0w/edit?usp=share_link"",""พะเยา!J207"")+IMPORTRANGE(""https://docs.google.com/spreadsheets/d/1Y"&amp;"9LPKx95PyL5OKy09d-KbKJSuuEZCFdkhYjwC0XQjBA/edit?usp=share_link"",""พิจิตร!J207"")+IMPORTRANGE(""https://docs.google.com/spreadsheets/d/16OMuOwy2eVqZcYWOouQtTpa8X1L23h4660uVHc0C8os/edit?usp=share_link"",""พิษณุโลก!J207"")+IMPORTRANGE(""https://docs.google."&amp;"com/spreadsheets/d/1GfgTldLG6k77HXaMQzaafODklYuucJZQNs_GAPEfZyY/edit?usp=share_link"",""เพชรบูรณ์!J207"")+IMPORTRANGE(""https://docs.google.com/spreadsheets/d/1gvTMYAnm7v1yG1BKWFtr0DnaTsq59oW9dwWvFgq6hs0/edit?usp=share_link"",""แพร่!J207"")+IMPORTRANGE("""&amp;"https://docs.google.com/spreadsheets/d/1Wbcosgy-Xa1xXUArJSOenub6EfZHUSzc_bpJFWwQUf0/edit?usp=share_link"",""แม่ฮ่องสอน!J207"")+IMPORTRANGE(""https://docs.google.com/spreadsheets/d/1p7ERhsr0qZeSn-KSOdeHS9r0heI-lHtkcn2OH7hP0jQ/edit?usp=share_link"",""ลำปาง!"&amp;"J207"")+IMPORTRANGE(""https://docs.google.com/spreadsheets/d/1-uUXvimVhiU2U0bMN-xi2te0tS4X7DI2GLPnMjzl8cA/edit?usp=share_link"",""ลำพูน!J207"")+IMPORTRANGE(""https://docs.google.com/spreadsheets/d/17HrOaa5pBUI1onckFfumXB8xlg35qb2uBAFfF1D-Myo/edit?usp=shar"&amp;"e_link"",""สุโขทัย!J207"")+IMPORTRANGE(""https://docs.google.com/spreadsheets/d/1ubs5cl16eYL9gHbdHTJtmtYb9MGzHBs7CAphn8kNCgM/edit?usp=share_link"",""อุตรดิตถ์!J207"")+IMPORTRANGE(""https://docs.google.com/spreadsheets/d/1kII0BjS6CtVrBvI8IrytgPdxDrlyQDyigz"&amp;"MsohRtDMs/edit?usp=share_link"",""อุทัยธานี!J207"")
"),0)</f>
        <v>0</v>
      </c>
      <c r="K207" s="163">
        <f t="shared" ca="1" si="122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3">I215</f>
        <v>4</v>
      </c>
      <c r="J208" s="272">
        <f t="shared" ca="1" si="123"/>
        <v>2</v>
      </c>
      <c r="K208" s="273">
        <f t="shared" ca="1" si="122"/>
        <v>50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56000</v>
      </c>
      <c r="M209" s="155"/>
      <c r="N209" s="155">
        <f ca="1">N210+N211+N212</f>
        <v>21040</v>
      </c>
      <c r="O209" s="155">
        <f ca="1">IF(L209&gt;0,N209*100/L209,0)</f>
        <v>37.571428571428569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xicF4apzSqm0-jIpmueT4kyZtE-Cwn5zskl7GD4loQ/edit?usp=share_link"",""กำแพงเพชร!l210"")+IMPORTRANGE(""https://docs.google.com/spreadsheets/d/1ZNYWeiFoFA1K1U4xKWqRX29MBvEyRHXORjo734Gnq_c/edit?usp=share_li"&amp;"nk"",""เชียงราย!l210"")
+IMPORTRANGE(""https://docs.google.com/spreadsheets/d/1Jgv0Y7YlHDtsiDawwp-uvifEJ8HVaSn0k2aGHG8-hwM/edit?usp=share_link"",""เชียงใหม่!l210"")+IMPORTRANGE(""https://docs.google.com/spreadsheets/d/1JWG2rZePOz9pe-f-ObA-yDr0VoOX2kSb0qIi"&amp;"x2mTUo8/edit?usp=share_link"",""ตาก!l210"")+IMPORTRANGE(""https://docs.google.com/spreadsheets/d/10nSRjK08hx8Y6HgSOQKNw81lyY46Zc7U_Cj72hBMp9U/edit?usp=share_link"",""นครสวรรค์!l210"")+IMPORTRANGE(""https://docs.google.com/spreadsheets/d/1gFVb7qd7amutrIxAA"&amp;"oM7lcy35hllxznovot8lyOfvDo/edit?usp=share_link"",""น่าน!l210"")+IMPORTRANGE(""https://docs.google.com/spreadsheets/d/1K0Aa9s-6EuHE5M0FG1F9aHLXRCOV917xvycTdLdct0w/edit?usp=share_link"",""พะเยา!l210"")+IMPORTRANGE(""https://docs.google.com/spreadsheets/d/1Y"&amp;"9LPKx95PyL5OKy09d-KbKJSuuEZCFdkhYjwC0XQjBA/edit?usp=share_link"",""พิจิตร!l210"")+IMPORTRANGE(""https://docs.google.com/spreadsheets/d/16OMuOwy2eVqZcYWOouQtTpa8X1L23h4660uVHc0C8os/edit?usp=share_link"",""พิษณุโลก!l210"")+IMPORTRANGE(""https://docs.google."&amp;"com/spreadsheets/d/1GfgTldLG6k77HXaMQzaafODklYuucJZQNs_GAPEfZyY/edit?usp=share_link"",""เพชรบูรณ์!l210"")+IMPORTRANGE(""https://docs.google.com/spreadsheets/d/1gvTMYAnm7v1yG1BKWFtr0DnaTsq59oW9dwWvFgq6hs0/edit?usp=share_link"",""แพร่!l210"")+IMPORTRANGE("""&amp;"https://docs.google.com/spreadsheets/d/1Wbcosgy-Xa1xXUArJSOenub6EfZHUSzc_bpJFWwQUf0/edit?usp=share_link"",""แม่ฮ่องสอน!l210"")+IMPORTRANGE(""https://docs.google.com/spreadsheets/d/1p7ERhsr0qZeSn-KSOdeHS9r0heI-lHtkcn2OH7hP0jQ/edit?usp=share_link"",""ลำปาง!"&amp;"l210"")+IMPORTRANGE(""https://docs.google.com/spreadsheets/d/1-uUXvimVhiU2U0bMN-xi2te0tS4X7DI2GLPnMjzl8cA/edit?usp=share_link"",""ลำพูน!l210"")+IMPORTRANGE(""https://docs.google.com/spreadsheets/d/17HrOaa5pBUI1onckFfumXB8xlg35qb2uBAFfF1D-Myo/edit?usp=shar"&amp;"e_link"",""สุโขทัย!l210"")+IMPORTRANGE(""https://docs.google.com/spreadsheets/d/1ubs5cl16eYL9gHbdHTJtmtYb9MGzHBs7CAphn8kNCgM/edit?usp=share_link"",""อุตรดิตถ์!l210"")+IMPORTRANGE(""https://docs.google.com/spreadsheets/d/1kII0BjS6CtVrBvI8IrytgPdxDrlyQDyigz"&amp;"MsohRtDMs/edit?usp=share_link"",""อุทัยธานี!l210"")
"),4000)</f>
        <v>4000</v>
      </c>
      <c r="M210" s="38"/>
      <c r="N210" s="283">
        <f ca="1">IFERROR(__xludf.DUMMYFUNCTION("IMPORTRANGE(""https://docs.google.com/spreadsheets/d/1KxicF4apzSqm0-jIpmueT4kyZtE-Cwn5zskl7GD4loQ/edit?usp=share_link"",""กำแพงเพชร!n210"")+IMPORTRANGE(""https://docs.google.com/spreadsheets/d/1ZNYWeiFoFA1K1U4xKWqRX29MBvEyRHXORjo734Gnq_c/edit?usp=share_li"&amp;"nk"",""เชียงราย!n210"")
+IMPORTRANGE(""https://docs.google.com/spreadsheets/d/1Jgv0Y7YlHDtsiDawwp-uvifEJ8HVaSn0k2aGHG8-hwM/edit?usp=share_link"",""เชียงใหม่!n210"")+IMPORTRANGE(""https://docs.google.com/spreadsheets/d/1JWG2rZePOz9pe-f-ObA-yDr0VoOX2kSb0qIi"&amp;"x2mTUo8/edit?usp=share_link"",""ตาก!n210"")+IMPORTRANGE(""https://docs.google.com/spreadsheets/d/10nSRjK08hx8Y6HgSOQKNw81lyY46Zc7U_Cj72hBMp9U/edit?usp=share_link"",""นครสวรรค์!n210"")+IMPORTRANGE(""https://docs.google.com/spreadsheets/d/1gFVb7qd7amutrIxAA"&amp;"oM7lcy35hllxznovot8lyOfvDo/edit?usp=share_link"",""น่าน!n210"")+IMPORTRANGE(""https://docs.google.com/spreadsheets/d/1K0Aa9s-6EuHE5M0FG1F9aHLXRCOV917xvycTdLdct0w/edit?usp=share_link"",""พะเยา!n210"")+IMPORTRANGE(""https://docs.google.com/spreadsheets/d/1Y"&amp;"9LPKx95PyL5OKy09d-KbKJSuuEZCFdkhYjwC0XQjBA/edit?usp=share_link"",""พิจิตร!n210"")+IMPORTRANGE(""https://docs.google.com/spreadsheets/d/16OMuOwy2eVqZcYWOouQtTpa8X1L23h4660uVHc0C8os/edit?usp=share_link"",""พิษณุโลก!n210"")+IMPORTRANGE(""https://docs.google."&amp;"com/spreadsheets/d/1GfgTldLG6k77HXaMQzaafODklYuucJZQNs_GAPEfZyY/edit?usp=share_link"",""เพชรบูรณ์!n210"")+IMPORTRANGE(""https://docs.google.com/spreadsheets/d/1gvTMYAnm7v1yG1BKWFtr0DnaTsq59oW9dwWvFgq6hs0/edit?usp=share_link"",""แพร่!n210"")+IMPORTRANGE("""&amp;"https://docs.google.com/spreadsheets/d/1Wbcosgy-Xa1xXUArJSOenub6EfZHUSzc_bpJFWwQUf0/edit?usp=share_link"",""แม่ฮ่องสอน!n210"")+IMPORTRANGE(""https://docs.google.com/spreadsheets/d/1p7ERhsr0qZeSn-KSOdeHS9r0heI-lHtkcn2OH7hP0jQ/edit?usp=share_link"",""ลำปาง!"&amp;"n210"")+IMPORTRANGE(""https://docs.google.com/spreadsheets/d/1-uUXvimVhiU2U0bMN-xi2te0tS4X7DI2GLPnMjzl8cA/edit?usp=share_link"",""ลำพูน!n210"")+IMPORTRANGE(""https://docs.google.com/spreadsheets/d/17HrOaa5pBUI1onckFfumXB8xlg35qb2uBAFfF1D-Myo/edit?usp=shar"&amp;"e_link"",""สุโขทัย!n210"")+IMPORTRANGE(""https://docs.google.com/spreadsheets/d/1ubs5cl16eYL9gHbdHTJtmtYb9MGzHBs7CAphn8kNCgM/edit?usp=share_link"",""อุตรดิตถ์!n210"")+IMPORTRANGE(""https://docs.google.com/spreadsheets/d/1kII0BjS6CtVrBvI8IrytgPdxDrlyQDyigz"&amp;"MsohRtDMs/edit?usp=share_link"",""อุทัยธานี!n210"")
"),390)</f>
        <v>390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xicF4apzSqm0-jIpmueT4kyZtE-Cwn5zskl7GD4loQ/edit?usp=share_link"",""กำแพงเพชร!l211"")+IMPORTRANGE(""https://docs.google.com/spreadsheets/d/1ZNYWeiFoFA1K1U4xKWqRX29MBvEyRHXORjo734Gnq_c/edit?usp=share_li"&amp;"nk"",""เชียงราย!l211"")
+IMPORTRANGE(""https://docs.google.com/spreadsheets/d/1Jgv0Y7YlHDtsiDawwp-uvifEJ8HVaSn0k2aGHG8-hwM/edit?usp=share_link"",""เชียงใหม่!l211"")+IMPORTRANGE(""https://docs.google.com/spreadsheets/d/1JWG2rZePOz9pe-f-ObA-yDr0VoOX2kSb0qIi"&amp;"x2mTUo8/edit?usp=share_link"",""ตาก!l211"")+IMPORTRANGE(""https://docs.google.com/spreadsheets/d/10nSRjK08hx8Y6HgSOQKNw81lyY46Zc7U_Cj72hBMp9U/edit?usp=share_link"",""นครสวรรค์!l211"")+IMPORTRANGE(""https://docs.google.com/spreadsheets/d/1gFVb7qd7amutrIxAA"&amp;"oM7lcy35hllxznovot8lyOfvDo/edit?usp=share_link"",""น่าน!l211"")+IMPORTRANGE(""https://docs.google.com/spreadsheets/d/1K0Aa9s-6EuHE5M0FG1F9aHLXRCOV917xvycTdLdct0w/edit?usp=share_link"",""พะเยา!l211"")+IMPORTRANGE(""https://docs.google.com/spreadsheets/d/1Y"&amp;"9LPKx95PyL5OKy09d-KbKJSuuEZCFdkhYjwC0XQjBA/edit?usp=share_link"",""พิจิตร!l211"")+IMPORTRANGE(""https://docs.google.com/spreadsheets/d/16OMuOwy2eVqZcYWOouQtTpa8X1L23h4660uVHc0C8os/edit?usp=share_link"",""พิษณุโลก!l211"")+IMPORTRANGE(""https://docs.google."&amp;"com/spreadsheets/d/1GfgTldLG6k77HXaMQzaafODklYuucJZQNs_GAPEfZyY/edit?usp=share_link"",""เพชรบูรณ์!l211"")+IMPORTRANGE(""https://docs.google.com/spreadsheets/d/1gvTMYAnm7v1yG1BKWFtr0DnaTsq59oW9dwWvFgq6hs0/edit?usp=share_link"",""แพร่!l211"")+IMPORTRANGE("""&amp;"https://docs.google.com/spreadsheets/d/1Wbcosgy-Xa1xXUArJSOenub6EfZHUSzc_bpJFWwQUf0/edit?usp=share_link"",""แม่ฮ่องสอน!l211"")+IMPORTRANGE(""https://docs.google.com/spreadsheets/d/1p7ERhsr0qZeSn-KSOdeHS9r0heI-lHtkcn2OH7hP0jQ/edit?usp=share_link"",""ลำปาง!"&amp;"l211"")+IMPORTRANGE(""https://docs.google.com/spreadsheets/d/1-uUXvimVhiU2U0bMN-xi2te0tS4X7DI2GLPnMjzl8cA/edit?usp=share_link"",""ลำพูน!l211"")+IMPORTRANGE(""https://docs.google.com/spreadsheets/d/17HrOaa5pBUI1onckFfumXB8xlg35qb2uBAFfF1D-Myo/edit?usp=shar"&amp;"e_link"",""สุโขทัย!l211"")+IMPORTRANGE(""https://docs.google.com/spreadsheets/d/1ubs5cl16eYL9gHbdHTJtmtYb9MGzHBs7CAphn8kNCgM/edit?usp=share_link"",""อุตรดิตถ์!l211"")+IMPORTRANGE(""https://docs.google.com/spreadsheets/d/1kII0BjS6CtVrBvI8IrytgPdxDrlyQDyigz"&amp;"MsohRtDMs/edit?usp=share_link"",""อุทัยธานี!l211"")
"),20000)</f>
        <v>20000</v>
      </c>
      <c r="M211" s="38"/>
      <c r="N211" s="283">
        <f ca="1">IFERROR(__xludf.DUMMYFUNCTION("IMPORTRANGE(""https://docs.google.com/spreadsheets/d/1KxicF4apzSqm0-jIpmueT4kyZtE-Cwn5zskl7GD4loQ/edit?usp=share_link"",""กำแพงเพชร!n211"")+IMPORTRANGE(""https://docs.google.com/spreadsheets/d/1ZNYWeiFoFA1K1U4xKWqRX29MBvEyRHXORjo734Gnq_c/edit?usp=share_li"&amp;"nk"",""เชียงราย!n211"")
+IMPORTRANGE(""https://docs.google.com/spreadsheets/d/1Jgv0Y7YlHDtsiDawwp-uvifEJ8HVaSn0k2aGHG8-hwM/edit?usp=share_link"",""เชียงใหม่!n211"")+IMPORTRANGE(""https://docs.google.com/spreadsheets/d/1JWG2rZePOz9pe-f-ObA-yDr0VoOX2kSb0qIi"&amp;"x2mTUo8/edit?usp=share_link"",""ตาก!n211"")+IMPORTRANGE(""https://docs.google.com/spreadsheets/d/10nSRjK08hx8Y6HgSOQKNw81lyY46Zc7U_Cj72hBMp9U/edit?usp=share_link"",""นครสวรรค์!n211"")+IMPORTRANGE(""https://docs.google.com/spreadsheets/d/1gFVb7qd7amutrIxAA"&amp;"oM7lcy35hllxznovot8lyOfvDo/edit?usp=share_link"",""น่าน!n211"")+IMPORTRANGE(""https://docs.google.com/spreadsheets/d/1K0Aa9s-6EuHE5M0FG1F9aHLXRCOV917xvycTdLdct0w/edit?usp=share_link"",""พะเยา!n211"")+IMPORTRANGE(""https://docs.google.com/spreadsheets/d/1Y"&amp;"9LPKx95PyL5OKy09d-KbKJSuuEZCFdkhYjwC0XQjBA/edit?usp=share_link"",""พิจิตร!n211"")+IMPORTRANGE(""https://docs.google.com/spreadsheets/d/16OMuOwy2eVqZcYWOouQtTpa8X1L23h4660uVHc0C8os/edit?usp=share_link"",""พิษณุโลก!n211"")+IMPORTRANGE(""https://docs.google."&amp;"com/spreadsheets/d/1GfgTldLG6k77HXaMQzaafODklYuucJZQNs_GAPEfZyY/edit?usp=share_link"",""เพชรบูรณ์!n211"")+IMPORTRANGE(""https://docs.google.com/spreadsheets/d/1gvTMYAnm7v1yG1BKWFtr0DnaTsq59oW9dwWvFgq6hs0/edit?usp=share_link"",""แพร่!n211"")+IMPORTRANGE("""&amp;"https://docs.google.com/spreadsheets/d/1Wbcosgy-Xa1xXUArJSOenub6EfZHUSzc_bpJFWwQUf0/edit?usp=share_link"",""แม่ฮ่องสอน!n211"")+IMPORTRANGE(""https://docs.google.com/spreadsheets/d/1p7ERhsr0qZeSn-KSOdeHS9r0heI-lHtkcn2OH7hP0jQ/edit?usp=share_link"",""ลำปาง!"&amp;"n211"")+IMPORTRANGE(""https://docs.google.com/spreadsheets/d/1-uUXvimVhiU2U0bMN-xi2te0tS4X7DI2GLPnMjzl8cA/edit?usp=share_link"",""ลำพูน!n211"")+IMPORTRANGE(""https://docs.google.com/spreadsheets/d/17HrOaa5pBUI1onckFfumXB8xlg35qb2uBAFfF1D-Myo/edit?usp=shar"&amp;"e_link"",""สุโขทัย!n211"")+IMPORTRANGE(""https://docs.google.com/spreadsheets/d/1ubs5cl16eYL9gHbdHTJtmtYb9MGzHBs7CAphn8kNCgM/edit?usp=share_link"",""อุตรดิตถ์!n211"")+IMPORTRANGE(""https://docs.google.com/spreadsheets/d/1kII0BjS6CtVrBvI8IrytgPdxDrlyQDyigz"&amp;"MsohRtDMs/edit?usp=share_link"",""อุทัยธานี!n211"")
"),4650)</f>
        <v>4650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xicF4apzSqm0-jIpmueT4kyZtE-Cwn5zskl7GD4loQ/edit?usp=share_link"",""กำแพงเพชร!l212"")+IMPORTRANGE(""https://docs.google.com/spreadsheets/d/1ZNYWeiFoFA1K1U4xKWqRX29MBvEyRHXORjo734Gnq_c/edit?usp=share_li"&amp;"nk"",""เชียงราย!l212"")
+IMPORTRANGE(""https://docs.google.com/spreadsheets/d/1Jgv0Y7YlHDtsiDawwp-uvifEJ8HVaSn0k2aGHG8-hwM/edit?usp=share_link"",""เชียงใหม่!l212"")+IMPORTRANGE(""https://docs.google.com/spreadsheets/d/1JWG2rZePOz9pe-f-ObA-yDr0VoOX2kSb0qIi"&amp;"x2mTUo8/edit?usp=share_link"",""ตาก!l212"")+IMPORTRANGE(""https://docs.google.com/spreadsheets/d/10nSRjK08hx8Y6HgSOQKNw81lyY46Zc7U_Cj72hBMp9U/edit?usp=share_link"",""นครสวรรค์!l212"")+IMPORTRANGE(""https://docs.google.com/spreadsheets/d/1gFVb7qd7amutrIxAA"&amp;"oM7lcy35hllxznovot8lyOfvDo/edit?usp=share_link"",""น่าน!l212"")+IMPORTRANGE(""https://docs.google.com/spreadsheets/d/1K0Aa9s-6EuHE5M0FG1F9aHLXRCOV917xvycTdLdct0w/edit?usp=share_link"",""พะเยา!l212"")+IMPORTRANGE(""https://docs.google.com/spreadsheets/d/1Y"&amp;"9LPKx95PyL5OKy09d-KbKJSuuEZCFdkhYjwC0XQjBA/edit?usp=share_link"",""พิจิตร!l212"")+IMPORTRANGE(""https://docs.google.com/spreadsheets/d/16OMuOwy2eVqZcYWOouQtTpa8X1L23h4660uVHc0C8os/edit?usp=share_link"",""พิษณุโลก!l212"")+IMPORTRANGE(""https://docs.google."&amp;"com/spreadsheets/d/1GfgTldLG6k77HXaMQzaafODklYuucJZQNs_GAPEfZyY/edit?usp=share_link"",""เพชรบูรณ์!l212"")+IMPORTRANGE(""https://docs.google.com/spreadsheets/d/1gvTMYAnm7v1yG1BKWFtr0DnaTsq59oW9dwWvFgq6hs0/edit?usp=share_link"",""แพร่!l212"")+IMPORTRANGE("""&amp;"https://docs.google.com/spreadsheets/d/1Wbcosgy-Xa1xXUArJSOenub6EfZHUSzc_bpJFWwQUf0/edit?usp=share_link"",""แม่ฮ่องสอน!l212"")+IMPORTRANGE(""https://docs.google.com/spreadsheets/d/1p7ERhsr0qZeSn-KSOdeHS9r0heI-lHtkcn2OH7hP0jQ/edit?usp=share_link"",""ลำปาง!"&amp;"l212"")+IMPORTRANGE(""https://docs.google.com/spreadsheets/d/1-uUXvimVhiU2U0bMN-xi2te0tS4X7DI2GLPnMjzl8cA/edit?usp=share_link"",""ลำพูน!l212"")+IMPORTRANGE(""https://docs.google.com/spreadsheets/d/17HrOaa5pBUI1onckFfumXB8xlg35qb2uBAFfF1D-Myo/edit?usp=shar"&amp;"e_link"",""สุโขทัย!l212"")+IMPORTRANGE(""https://docs.google.com/spreadsheets/d/1ubs5cl16eYL9gHbdHTJtmtYb9MGzHBs7CAphn8kNCgM/edit?usp=share_link"",""อุตรดิตถ์!l212"")+IMPORTRANGE(""https://docs.google.com/spreadsheets/d/1kII0BjS6CtVrBvI8IrytgPdxDrlyQDyigz"&amp;"MsohRtDMs/edit?usp=share_link"",""อุทัยธานี!l212"")
"),32000)</f>
        <v>32000</v>
      </c>
      <c r="M212" s="38"/>
      <c r="N212" s="283">
        <f ca="1">IFERROR(__xludf.DUMMYFUNCTION("IMPORTRANGE(""https://docs.google.com/spreadsheets/d/1KxicF4apzSqm0-jIpmueT4kyZtE-Cwn5zskl7GD4loQ/edit?usp=share_link"",""กำแพงเพชร!n212"")+IMPORTRANGE(""https://docs.google.com/spreadsheets/d/1ZNYWeiFoFA1K1U4xKWqRX29MBvEyRHXORjo734Gnq_c/edit?usp=share_li"&amp;"nk"",""เชียงราย!n212"")
+IMPORTRANGE(""https://docs.google.com/spreadsheets/d/1Jgv0Y7YlHDtsiDawwp-uvifEJ8HVaSn0k2aGHG8-hwM/edit?usp=share_link"",""เชียงใหม่!n212"")+IMPORTRANGE(""https://docs.google.com/spreadsheets/d/1JWG2rZePOz9pe-f-ObA-yDr0VoOX2kSb0qIi"&amp;"x2mTUo8/edit?usp=share_link"",""ตาก!n212"")+IMPORTRANGE(""https://docs.google.com/spreadsheets/d/10nSRjK08hx8Y6HgSOQKNw81lyY46Zc7U_Cj72hBMp9U/edit?usp=share_link"",""นครสวรรค์!n212"")+IMPORTRANGE(""https://docs.google.com/spreadsheets/d/1gFVb7qd7amutrIxAA"&amp;"oM7lcy35hllxznovot8lyOfvDo/edit?usp=share_link"",""น่าน!n212"")+IMPORTRANGE(""https://docs.google.com/spreadsheets/d/1K0Aa9s-6EuHE5M0FG1F9aHLXRCOV917xvycTdLdct0w/edit?usp=share_link"",""พะเยา!n212"")+IMPORTRANGE(""https://docs.google.com/spreadsheets/d/1Y"&amp;"9LPKx95PyL5OKy09d-KbKJSuuEZCFdkhYjwC0XQjBA/edit?usp=share_link"",""พิจิตร!n212"")+IMPORTRANGE(""https://docs.google.com/spreadsheets/d/16OMuOwy2eVqZcYWOouQtTpa8X1L23h4660uVHc0C8os/edit?usp=share_link"",""พิษณุโลก!n212"")+IMPORTRANGE(""https://docs.google."&amp;"com/spreadsheets/d/1GfgTldLG6k77HXaMQzaafODklYuucJZQNs_GAPEfZyY/edit?usp=share_link"",""เพชรบูรณ์!n212"")+IMPORTRANGE(""https://docs.google.com/spreadsheets/d/1gvTMYAnm7v1yG1BKWFtr0DnaTsq59oW9dwWvFgq6hs0/edit?usp=share_link"",""แพร่!n212"")+IMPORTRANGE("""&amp;"https://docs.google.com/spreadsheets/d/1Wbcosgy-Xa1xXUArJSOenub6EfZHUSzc_bpJFWwQUf0/edit?usp=share_link"",""แม่ฮ่องสอน!n212"")+IMPORTRANGE(""https://docs.google.com/spreadsheets/d/1p7ERhsr0qZeSn-KSOdeHS9r0heI-lHtkcn2OH7hP0jQ/edit?usp=share_link"",""ลำปาง!"&amp;"n212"")+IMPORTRANGE(""https://docs.google.com/spreadsheets/d/1-uUXvimVhiU2U0bMN-xi2te0tS4X7DI2GLPnMjzl8cA/edit?usp=share_link"",""ลำพูน!n212"")+IMPORTRANGE(""https://docs.google.com/spreadsheets/d/17HrOaa5pBUI1onckFfumXB8xlg35qb2uBAFfF1D-Myo/edit?usp=shar"&amp;"e_link"",""สุโขทัย!n212"")+IMPORTRANGE(""https://docs.google.com/spreadsheets/d/1ubs5cl16eYL9gHbdHTJtmtYb9MGzHBs7CAphn8kNCgM/edit?usp=share_link"",""อุตรดิตถ์!n212"")+IMPORTRANGE(""https://docs.google.com/spreadsheets/d/1kII0BjS6CtVrBvI8IrytgPdxDrlyQDyigz"&amp;"MsohRtDMs/edit?usp=share_link"",""อุทัยธานี!n212"")
"),16000)</f>
        <v>16000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xicF4apzSqm0-jIpmueT4kyZtE-Cwn5zskl7GD4loQ/edit?usp=share_link"",""กำแพงเพชร!I214"")+IMPORTRANGE(""https://docs.google.com/spreadsheets/d/1ZNYWeiFoFA1K1U4xKWqRX29MBvEyRHXORjo734Gnq_c/edit?usp=share_li"&amp;"nk"",""เชียงราย!I214"")
+IMPORTRANGE(""https://docs.google.com/spreadsheets/d/1Jgv0Y7YlHDtsiDawwp-uvifEJ8HVaSn0k2aGHG8-hwM/edit?usp=share_link"",""เชียงใหม่!I214"")+IMPORTRANGE(""https://docs.google.com/spreadsheets/d/1JWG2rZePOz9pe-f-ObA-yDr0VoOX2kSb0qIi"&amp;"x2mTUo8/edit?usp=share_link"",""ตาก!I214"")+IMPORTRANGE(""https://docs.google.com/spreadsheets/d/10nSRjK08hx8Y6HgSOQKNw81lyY46Zc7U_Cj72hBMp9U/edit?usp=share_link"",""นครสวรรค์!I214"")+IMPORTRANGE(""https://docs.google.com/spreadsheets/d/1gFVb7qd7amutrIxAA"&amp;"oM7lcy35hllxznovot8lyOfvDo/edit?usp=share_link"",""น่าน!I214"")+IMPORTRANGE(""https://docs.google.com/spreadsheets/d/1K0Aa9s-6EuHE5M0FG1F9aHLXRCOV917xvycTdLdct0w/edit?usp=share_link"",""พะเยา!I214"")+IMPORTRANGE(""https://docs.google.com/spreadsheets/d/1Y"&amp;"9LPKx95PyL5OKy09d-KbKJSuuEZCFdkhYjwC0XQjBA/edit?usp=share_link"",""พิจิตร!I214"")+IMPORTRANGE(""https://docs.google.com/spreadsheets/d/16OMuOwy2eVqZcYWOouQtTpa8X1L23h4660uVHc0C8os/edit?usp=share_link"",""พิษณุโลก!I214"")+IMPORTRANGE(""https://docs.google."&amp;"com/spreadsheets/d/1GfgTldLG6k77HXaMQzaafODklYuucJZQNs_GAPEfZyY/edit?usp=share_link"",""เพชรบูรณ์!I214"")+IMPORTRANGE(""https://docs.google.com/spreadsheets/d/1gvTMYAnm7v1yG1BKWFtr0DnaTsq59oW9dwWvFgq6hs0/edit?usp=share_link"",""แพร่!I214"")+IMPORTRANGE("""&amp;"https://docs.google.com/spreadsheets/d/1Wbcosgy-Xa1xXUArJSOenub6EfZHUSzc_bpJFWwQUf0/edit?usp=share_link"",""แม่ฮ่องสอน!I214"")+IMPORTRANGE(""https://docs.google.com/spreadsheets/d/1p7ERhsr0qZeSn-KSOdeHS9r0heI-lHtkcn2OH7hP0jQ/edit?usp=share_link"",""ลำปาง!"&amp;"I214"")+IMPORTRANGE(""https://docs.google.com/spreadsheets/d/1-uUXvimVhiU2U0bMN-xi2te0tS4X7DI2GLPnMjzl8cA/edit?usp=share_link"",""ลำพูน!I214"")+IMPORTRANGE(""https://docs.google.com/spreadsheets/d/17HrOaa5pBUI1onckFfumXB8xlg35qb2uBAFfF1D-Myo/edit?usp=shar"&amp;"e_link"",""สุโขทัย!I214"")+IMPORTRANGE(""https://docs.google.com/spreadsheets/d/1ubs5cl16eYL9gHbdHTJtmtYb9MGzHBs7CAphn8kNCgM/edit?usp=share_link"",""อุตรดิตถ์!I214"")+IMPORTRANGE(""https://docs.google.com/spreadsheets/d/1kII0BjS6CtVrBvI8IrytgPdxDrlyQDyigz"&amp;"MsohRtDMs/edit?usp=share_link"",""อุทัยธานี!I214"")
"),4)</f>
        <v>4</v>
      </c>
      <c r="J214" s="183">
        <f ca="1">IFERROR(__xludf.DUMMYFUNCTION("IMPORTRANGE(""https://docs.google.com/spreadsheets/d/1KxicF4apzSqm0-jIpmueT4kyZtE-Cwn5zskl7GD4loQ/edit?usp=share_link"",""กำแพงเพชร!J214"")+IMPORTRANGE(""https://docs.google.com/spreadsheets/d/1ZNYWeiFoFA1K1U4xKWqRX29MBvEyRHXORjo734Gnq_c/edit?usp=share_li"&amp;"nk"",""เชียงราย!J214"")
+IMPORTRANGE(""https://docs.google.com/spreadsheets/d/1Jgv0Y7YlHDtsiDawwp-uvifEJ8HVaSn0k2aGHG8-hwM/edit?usp=share_link"",""เชียงใหม่!J214"")+IMPORTRANGE(""https://docs.google.com/spreadsheets/d/1JWG2rZePOz9pe-f-ObA-yDr0VoOX2kSb0qIi"&amp;"x2mTUo8/edit?usp=share_link"",""ตาก!J214"")+IMPORTRANGE(""https://docs.google.com/spreadsheets/d/10nSRjK08hx8Y6HgSOQKNw81lyY46Zc7U_Cj72hBMp9U/edit?usp=share_link"",""นครสวรรค์!J214"")+IMPORTRANGE(""https://docs.google.com/spreadsheets/d/1gFVb7qd7amutrIxAA"&amp;"oM7lcy35hllxznovot8lyOfvDo/edit?usp=share_link"",""น่าน!J214"")+IMPORTRANGE(""https://docs.google.com/spreadsheets/d/1K0Aa9s-6EuHE5M0FG1F9aHLXRCOV917xvycTdLdct0w/edit?usp=share_link"",""พะเยา!J214"")+IMPORTRANGE(""https://docs.google.com/spreadsheets/d/1Y"&amp;"9LPKx95PyL5OKy09d-KbKJSuuEZCFdkhYjwC0XQjBA/edit?usp=share_link"",""พิจิตร!J214"")+IMPORTRANGE(""https://docs.google.com/spreadsheets/d/16OMuOwy2eVqZcYWOouQtTpa8X1L23h4660uVHc0C8os/edit?usp=share_link"",""พิษณุโลก!J214"")+IMPORTRANGE(""https://docs.google."&amp;"com/spreadsheets/d/1GfgTldLG6k77HXaMQzaafODklYuucJZQNs_GAPEfZyY/edit?usp=share_link"",""เพชรบูรณ์!J214"")+IMPORTRANGE(""https://docs.google.com/spreadsheets/d/1gvTMYAnm7v1yG1BKWFtr0DnaTsq59oW9dwWvFgq6hs0/edit?usp=share_link"",""แพร่!J214"")+IMPORTRANGE("""&amp;"https://docs.google.com/spreadsheets/d/1Wbcosgy-Xa1xXUArJSOenub6EfZHUSzc_bpJFWwQUf0/edit?usp=share_link"",""แม่ฮ่องสอน!J214"")+IMPORTRANGE(""https://docs.google.com/spreadsheets/d/1p7ERhsr0qZeSn-KSOdeHS9r0heI-lHtkcn2OH7hP0jQ/edit?usp=share_link"",""ลำปาง!"&amp;"J214"")+IMPORTRANGE(""https://docs.google.com/spreadsheets/d/1-uUXvimVhiU2U0bMN-xi2te0tS4X7DI2GLPnMjzl8cA/edit?usp=share_link"",""ลำพูน!J214"")+IMPORTRANGE(""https://docs.google.com/spreadsheets/d/17HrOaa5pBUI1onckFfumXB8xlg35qb2uBAFfF1D-Myo/edit?usp=shar"&amp;"e_link"",""สุโขทัย!J214"")+IMPORTRANGE(""https://docs.google.com/spreadsheets/d/1ubs5cl16eYL9gHbdHTJtmtYb9MGzHBs7CAphn8kNCgM/edit?usp=share_link"",""อุตรดิตถ์!J214"")+IMPORTRANGE(""https://docs.google.com/spreadsheets/d/1kII0BjS6CtVrBvI8IrytgPdxDrlyQDyigz"&amp;"MsohRtDMs/edit?usp=share_link"",""อุทัยธานี!J214"")
"),1)</f>
        <v>1</v>
      </c>
      <c r="K214" s="38">
        <f t="shared" ref="K214:K216" ca="1" si="124">IF(I214&gt;0,J214*100/I214,0)</f>
        <v>25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xicF4apzSqm0-jIpmueT4kyZtE-Cwn5zskl7GD4loQ/edit?usp=share_link"",""กำแพงเพชร!I215"")+IMPORTRANGE(""https://docs.google.com/spreadsheets/d/1ZNYWeiFoFA1K1U4xKWqRX29MBvEyRHXORjo734Gnq_c/edit?usp=share_li"&amp;"nk"",""เชียงราย!I215"")
+IMPORTRANGE(""https://docs.google.com/spreadsheets/d/1Jgv0Y7YlHDtsiDawwp-uvifEJ8HVaSn0k2aGHG8-hwM/edit?usp=share_link"",""เชียงใหม่!I215"")+IMPORTRANGE(""https://docs.google.com/spreadsheets/d/1JWG2rZePOz9pe-f-ObA-yDr0VoOX2kSb0qIi"&amp;"x2mTUo8/edit?usp=share_link"",""ตาก!I215"")+IMPORTRANGE(""https://docs.google.com/spreadsheets/d/10nSRjK08hx8Y6HgSOQKNw81lyY46Zc7U_Cj72hBMp9U/edit?usp=share_link"",""นครสวรรค์!I215"")+IMPORTRANGE(""https://docs.google.com/spreadsheets/d/1gFVb7qd7amutrIxAA"&amp;"oM7lcy35hllxznovot8lyOfvDo/edit?usp=share_link"",""น่าน!I215"")+IMPORTRANGE(""https://docs.google.com/spreadsheets/d/1K0Aa9s-6EuHE5M0FG1F9aHLXRCOV917xvycTdLdct0w/edit?usp=share_link"",""พะเยา!I215"")+IMPORTRANGE(""https://docs.google.com/spreadsheets/d/1Y"&amp;"9LPKx95PyL5OKy09d-KbKJSuuEZCFdkhYjwC0XQjBA/edit?usp=share_link"",""พิจิตร!I215"")+IMPORTRANGE(""https://docs.google.com/spreadsheets/d/16OMuOwy2eVqZcYWOouQtTpa8X1L23h4660uVHc0C8os/edit?usp=share_link"",""พิษณุโลก!I215"")+IMPORTRANGE(""https://docs.google."&amp;"com/spreadsheets/d/1GfgTldLG6k77HXaMQzaafODklYuucJZQNs_GAPEfZyY/edit?usp=share_link"",""เพชรบูรณ์!I215"")+IMPORTRANGE(""https://docs.google.com/spreadsheets/d/1gvTMYAnm7v1yG1BKWFtr0DnaTsq59oW9dwWvFgq6hs0/edit?usp=share_link"",""แพร่!I215"")+IMPORTRANGE("""&amp;"https://docs.google.com/spreadsheets/d/1Wbcosgy-Xa1xXUArJSOenub6EfZHUSzc_bpJFWwQUf0/edit?usp=share_link"",""แม่ฮ่องสอน!I215"")+IMPORTRANGE(""https://docs.google.com/spreadsheets/d/1p7ERhsr0qZeSn-KSOdeHS9r0heI-lHtkcn2OH7hP0jQ/edit?usp=share_link"",""ลำปาง!"&amp;"I215"")+IMPORTRANGE(""https://docs.google.com/spreadsheets/d/1-uUXvimVhiU2U0bMN-xi2te0tS4X7DI2GLPnMjzl8cA/edit?usp=share_link"",""ลำพูน!I215"")+IMPORTRANGE(""https://docs.google.com/spreadsheets/d/17HrOaa5pBUI1onckFfumXB8xlg35qb2uBAFfF1D-Myo/edit?usp=shar"&amp;"e_link"",""สุโขทัย!I215"")+IMPORTRANGE(""https://docs.google.com/spreadsheets/d/1ubs5cl16eYL9gHbdHTJtmtYb9MGzHBs7CAphn8kNCgM/edit?usp=share_link"",""อุตรดิตถ์!I215"")+IMPORTRANGE(""https://docs.google.com/spreadsheets/d/1kII0BjS6CtVrBvI8IrytgPdxDrlyQDyigz"&amp;"MsohRtDMs/edit?usp=share_link"",""อุทัยธานี!I215"")
"),4)</f>
        <v>4</v>
      </c>
      <c r="J215" s="183">
        <f ca="1">IFERROR(__xludf.DUMMYFUNCTION("IMPORTRANGE(""https://docs.google.com/spreadsheets/d/1KxicF4apzSqm0-jIpmueT4kyZtE-Cwn5zskl7GD4loQ/edit?usp=share_link"",""กำแพงเพชร!J215"")+IMPORTRANGE(""https://docs.google.com/spreadsheets/d/1ZNYWeiFoFA1K1U4xKWqRX29MBvEyRHXORjo734Gnq_c/edit?usp=share_li"&amp;"nk"",""เชียงราย!J215"")
+IMPORTRANGE(""https://docs.google.com/spreadsheets/d/1Jgv0Y7YlHDtsiDawwp-uvifEJ8HVaSn0k2aGHG8-hwM/edit?usp=share_link"",""เชียงใหม่!J215"")+IMPORTRANGE(""https://docs.google.com/spreadsheets/d/1JWG2rZePOz9pe-f-ObA-yDr0VoOX2kSb0qIi"&amp;"x2mTUo8/edit?usp=share_link"",""ตาก!J215"")+IMPORTRANGE(""https://docs.google.com/spreadsheets/d/10nSRjK08hx8Y6HgSOQKNw81lyY46Zc7U_Cj72hBMp9U/edit?usp=share_link"",""นครสวรรค์!J215"")+IMPORTRANGE(""https://docs.google.com/spreadsheets/d/1gFVb7qd7amutrIxAA"&amp;"oM7lcy35hllxznovot8lyOfvDo/edit?usp=share_link"",""น่าน!J215"")+IMPORTRANGE(""https://docs.google.com/spreadsheets/d/1K0Aa9s-6EuHE5M0FG1F9aHLXRCOV917xvycTdLdct0w/edit?usp=share_link"",""พะเยา!J215"")+IMPORTRANGE(""https://docs.google.com/spreadsheets/d/1Y"&amp;"9LPKx95PyL5OKy09d-KbKJSuuEZCFdkhYjwC0XQjBA/edit?usp=share_link"",""พิจิตร!J215"")+IMPORTRANGE(""https://docs.google.com/spreadsheets/d/16OMuOwy2eVqZcYWOouQtTpa8X1L23h4660uVHc0C8os/edit?usp=share_link"",""พิษณุโลก!J215"")+IMPORTRANGE(""https://docs.google."&amp;"com/spreadsheets/d/1GfgTldLG6k77HXaMQzaafODklYuucJZQNs_GAPEfZyY/edit?usp=share_link"",""เพชรบูรณ์!J215"")+IMPORTRANGE(""https://docs.google.com/spreadsheets/d/1gvTMYAnm7v1yG1BKWFtr0DnaTsq59oW9dwWvFgq6hs0/edit?usp=share_link"",""แพร่!J215"")+IMPORTRANGE("""&amp;"https://docs.google.com/spreadsheets/d/1Wbcosgy-Xa1xXUArJSOenub6EfZHUSzc_bpJFWwQUf0/edit?usp=share_link"",""แม่ฮ่องสอน!J215"")+IMPORTRANGE(""https://docs.google.com/spreadsheets/d/1p7ERhsr0qZeSn-KSOdeHS9r0heI-lHtkcn2OH7hP0jQ/edit?usp=share_link"",""ลำปาง!"&amp;"J215"")+IMPORTRANGE(""https://docs.google.com/spreadsheets/d/1-uUXvimVhiU2U0bMN-xi2te0tS4X7DI2GLPnMjzl8cA/edit?usp=share_link"",""ลำพูน!J215"")+IMPORTRANGE(""https://docs.google.com/spreadsheets/d/17HrOaa5pBUI1onckFfumXB8xlg35qb2uBAFfF1D-Myo/edit?usp=shar"&amp;"e_link"",""สุโขทัย!J215"")+IMPORTRANGE(""https://docs.google.com/spreadsheets/d/1ubs5cl16eYL9gHbdHTJtmtYb9MGzHBs7CAphn8kNCgM/edit?usp=share_link"",""อุตรดิตถ์!J215"")+IMPORTRANGE(""https://docs.google.com/spreadsheets/d/1kII0BjS6CtVrBvI8IrytgPdxDrlyQDyigz"&amp;"MsohRtDMs/edit?usp=share_link"",""อุทัยธานี!J215"")
"),2)</f>
        <v>2</v>
      </c>
      <c r="K215" s="38">
        <f t="shared" ca="1" si="124"/>
        <v>50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5">I224</f>
        <v>1001000</v>
      </c>
      <c r="J216" s="272">
        <f t="shared" ca="1" si="125"/>
        <v>0</v>
      </c>
      <c r="K216" s="273">
        <f t="shared" ca="1" si="124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389300</v>
      </c>
      <c r="M217" s="155"/>
      <c r="N217" s="155">
        <f ca="1">N218+N219+N220</f>
        <v>30955</v>
      </c>
      <c r="O217" s="155">
        <f ca="1">IF(L217&gt;0,N217*100/L217,0)</f>
        <v>7.9514513228872339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xicF4apzSqm0-jIpmueT4kyZtE-Cwn5zskl7GD4loQ/edit?usp=share_link"",""กำแพงเพชร!l218"")+IMPORTRANGE(""https://docs.google.com/spreadsheets/d/1ZNYWeiFoFA1K1U4xKWqRX29MBvEyRHXORjo734Gnq_c/edit?usp=share_li"&amp;"nk"",""เชียงราย!l218"")
+IMPORTRANGE(""https://docs.google.com/spreadsheets/d/1Jgv0Y7YlHDtsiDawwp-uvifEJ8HVaSn0k2aGHG8-hwM/edit?usp=share_link"",""เชียงใหม่!l218"")+IMPORTRANGE(""https://docs.google.com/spreadsheets/d/1JWG2rZePOz9pe-f-ObA-yDr0VoOX2kSb0qIi"&amp;"x2mTUo8/edit?usp=share_link"",""ตาก!l218"")+IMPORTRANGE(""https://docs.google.com/spreadsheets/d/10nSRjK08hx8Y6HgSOQKNw81lyY46Zc7U_Cj72hBMp9U/edit?usp=share_link"",""นครสวรรค์!l218"")+IMPORTRANGE(""https://docs.google.com/spreadsheets/d/1gFVb7qd7amutrIxAA"&amp;"oM7lcy35hllxznovot8lyOfvDo/edit?usp=share_link"",""น่าน!l218"")+IMPORTRANGE(""https://docs.google.com/spreadsheets/d/1K0Aa9s-6EuHE5M0FG1F9aHLXRCOV917xvycTdLdct0w/edit?usp=share_link"",""พะเยา!l218"")+IMPORTRANGE(""https://docs.google.com/spreadsheets/d/1Y"&amp;"9LPKx95PyL5OKy09d-KbKJSuuEZCFdkhYjwC0XQjBA/edit?usp=share_link"",""พิจิตร!l218"")+IMPORTRANGE(""https://docs.google.com/spreadsheets/d/16OMuOwy2eVqZcYWOouQtTpa8X1L23h4660uVHc0C8os/edit?usp=share_link"",""พิษณุโลก!l218"")+IMPORTRANGE(""https://docs.google."&amp;"com/spreadsheets/d/1GfgTldLG6k77HXaMQzaafODklYuucJZQNs_GAPEfZyY/edit?usp=share_link"",""เพชรบูรณ์!l218"")+IMPORTRANGE(""https://docs.google.com/spreadsheets/d/1gvTMYAnm7v1yG1BKWFtr0DnaTsq59oW9dwWvFgq6hs0/edit?usp=share_link"",""แพร่!l218"")+IMPORTRANGE("""&amp;"https://docs.google.com/spreadsheets/d/1Wbcosgy-Xa1xXUArJSOenub6EfZHUSzc_bpJFWwQUf0/edit?usp=share_link"",""แม่ฮ่องสอน!l218"")+IMPORTRANGE(""https://docs.google.com/spreadsheets/d/1p7ERhsr0qZeSn-KSOdeHS9r0heI-lHtkcn2OH7hP0jQ/edit?usp=share_link"",""ลำปาง!"&amp;"l218"")+IMPORTRANGE(""https://docs.google.com/spreadsheets/d/1-uUXvimVhiU2U0bMN-xi2te0tS4X7DI2GLPnMjzl8cA/edit?usp=share_link"",""ลำพูน!l218"")+IMPORTRANGE(""https://docs.google.com/spreadsheets/d/17HrOaa5pBUI1onckFfumXB8xlg35qb2uBAFfF1D-Myo/edit?usp=shar"&amp;"e_link"",""สุโขทัย!l218"")+IMPORTRANGE(""https://docs.google.com/spreadsheets/d/1ubs5cl16eYL9gHbdHTJtmtYb9MGzHBs7CAphn8kNCgM/edit?usp=share_link"",""อุตรดิตถ์!l218"")+IMPORTRANGE(""https://docs.google.com/spreadsheets/d/1kII0BjS6CtVrBvI8IrytgPdxDrlyQDyigz"&amp;"MsohRtDMs/edit?usp=share_link"",""อุทัยธานี!l218"")
"),87000)</f>
        <v>87000</v>
      </c>
      <c r="M218" s="38"/>
      <c r="N218" s="283">
        <f ca="1">IFERROR(__xludf.DUMMYFUNCTION("IMPORTRANGE(""https://docs.google.com/spreadsheets/d/1KxicF4apzSqm0-jIpmueT4kyZtE-Cwn5zskl7GD4loQ/edit?usp=share_link"",""กำแพงเพชร!n218"")+IMPORTRANGE(""https://docs.google.com/spreadsheets/d/1ZNYWeiFoFA1K1U4xKWqRX29MBvEyRHXORjo734Gnq_c/edit?usp=share_li"&amp;"nk"",""เชียงราย!n218"")
+IMPORTRANGE(""https://docs.google.com/spreadsheets/d/1Jgv0Y7YlHDtsiDawwp-uvifEJ8HVaSn0k2aGHG8-hwM/edit?usp=share_link"",""เชียงใหม่!n218"")+IMPORTRANGE(""https://docs.google.com/spreadsheets/d/1JWG2rZePOz9pe-f-ObA-yDr0VoOX2kSb0qIi"&amp;"x2mTUo8/edit?usp=share_link"",""ตาก!n218"")+IMPORTRANGE(""https://docs.google.com/spreadsheets/d/10nSRjK08hx8Y6HgSOQKNw81lyY46Zc7U_Cj72hBMp9U/edit?usp=share_link"",""นครสวรรค์!n218"")+IMPORTRANGE(""https://docs.google.com/spreadsheets/d/1gFVb7qd7amutrIxAA"&amp;"oM7lcy35hllxznovot8lyOfvDo/edit?usp=share_link"",""น่าน!n218"")+IMPORTRANGE(""https://docs.google.com/spreadsheets/d/1K0Aa9s-6EuHE5M0FG1F9aHLXRCOV917xvycTdLdct0w/edit?usp=share_link"",""พะเยา!n218"")+IMPORTRANGE(""https://docs.google.com/spreadsheets/d/1Y"&amp;"9LPKx95PyL5OKy09d-KbKJSuuEZCFdkhYjwC0XQjBA/edit?usp=share_link"",""พิจิตร!n218"")+IMPORTRANGE(""https://docs.google.com/spreadsheets/d/16OMuOwy2eVqZcYWOouQtTpa8X1L23h4660uVHc0C8os/edit?usp=share_link"",""พิษณุโลก!n218"")+IMPORTRANGE(""https://docs.google."&amp;"com/spreadsheets/d/1GfgTldLG6k77HXaMQzaafODklYuucJZQNs_GAPEfZyY/edit?usp=share_link"",""เพชรบูรณ์!n218"")+IMPORTRANGE(""https://docs.google.com/spreadsheets/d/1gvTMYAnm7v1yG1BKWFtr0DnaTsq59oW9dwWvFgq6hs0/edit?usp=share_link"",""แพร่!n218"")+IMPORTRANGE("""&amp;"https://docs.google.com/spreadsheets/d/1Wbcosgy-Xa1xXUArJSOenub6EfZHUSzc_bpJFWwQUf0/edit?usp=share_link"",""แม่ฮ่องสอน!n218"")+IMPORTRANGE(""https://docs.google.com/spreadsheets/d/1p7ERhsr0qZeSn-KSOdeHS9r0heI-lHtkcn2OH7hP0jQ/edit?usp=share_link"",""ลำปาง!"&amp;"n218"")+IMPORTRANGE(""https://docs.google.com/spreadsheets/d/1-uUXvimVhiU2U0bMN-xi2te0tS4X7DI2GLPnMjzl8cA/edit?usp=share_link"",""ลำพูน!n218"")+IMPORTRANGE(""https://docs.google.com/spreadsheets/d/17HrOaa5pBUI1onckFfumXB8xlg35qb2uBAFfF1D-Myo/edit?usp=shar"&amp;"e_link"",""สุโขทัย!n218"")+IMPORTRANGE(""https://docs.google.com/spreadsheets/d/1ubs5cl16eYL9gHbdHTJtmtYb9MGzHBs7CAphn8kNCgM/edit?usp=share_link"",""อุตรดิตถ์!n218"")+IMPORTRANGE(""https://docs.google.com/spreadsheets/d/1kII0BjS6CtVrBvI8IrytgPdxDrlyQDyigz"&amp;"MsohRtDMs/edit?usp=share_link"",""อุทัยธานี!n218"")
"),1620)</f>
        <v>1620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xicF4apzSqm0-jIpmueT4kyZtE-Cwn5zskl7GD4loQ/edit?usp=share_link"",""กำแพงเพชร!l219"")+IMPORTRANGE(""https://docs.google.com/spreadsheets/d/1ZNYWeiFoFA1K1U4xKWqRX29MBvEyRHXORjo734Gnq_c/edit?usp=share_li"&amp;"nk"",""เชียงราย!l219"")
+IMPORTRANGE(""https://docs.google.com/spreadsheets/d/1Jgv0Y7YlHDtsiDawwp-uvifEJ8HVaSn0k2aGHG8-hwM/edit?usp=share_link"",""เชียงใหม่!l219"")+IMPORTRANGE(""https://docs.google.com/spreadsheets/d/1JWG2rZePOz9pe-f-ObA-yDr0VoOX2kSb0qIi"&amp;"x2mTUo8/edit?usp=share_link"",""ตาก!l219"")+IMPORTRANGE(""https://docs.google.com/spreadsheets/d/10nSRjK08hx8Y6HgSOQKNw81lyY46Zc7U_Cj72hBMp9U/edit?usp=share_link"",""นครสวรรค์!l219"")+IMPORTRANGE(""https://docs.google.com/spreadsheets/d/1gFVb7qd7amutrIxAA"&amp;"oM7lcy35hllxznovot8lyOfvDo/edit?usp=share_link"",""น่าน!l219"")+IMPORTRANGE(""https://docs.google.com/spreadsheets/d/1K0Aa9s-6EuHE5M0FG1F9aHLXRCOV917xvycTdLdct0w/edit?usp=share_link"",""พะเยา!l219"")+IMPORTRANGE(""https://docs.google.com/spreadsheets/d/1Y"&amp;"9LPKx95PyL5OKy09d-KbKJSuuEZCFdkhYjwC0XQjBA/edit?usp=share_link"",""พิจิตร!l219"")+IMPORTRANGE(""https://docs.google.com/spreadsheets/d/16OMuOwy2eVqZcYWOouQtTpa8X1L23h4660uVHc0C8os/edit?usp=share_link"",""พิษณุโลก!l219"")+IMPORTRANGE(""https://docs.google."&amp;"com/spreadsheets/d/1GfgTldLG6k77HXaMQzaafODklYuucJZQNs_GAPEfZyY/edit?usp=share_link"",""เพชรบูรณ์!l219"")+IMPORTRANGE(""https://docs.google.com/spreadsheets/d/1gvTMYAnm7v1yG1BKWFtr0DnaTsq59oW9dwWvFgq6hs0/edit?usp=share_link"",""แพร่!l219"")+IMPORTRANGE("""&amp;"https://docs.google.com/spreadsheets/d/1Wbcosgy-Xa1xXUArJSOenub6EfZHUSzc_bpJFWwQUf0/edit?usp=share_link"",""แม่ฮ่องสอน!l219"")+IMPORTRANGE(""https://docs.google.com/spreadsheets/d/1p7ERhsr0qZeSn-KSOdeHS9r0heI-lHtkcn2OH7hP0jQ/edit?usp=share_link"",""ลำปาง!"&amp;"l219"")+IMPORTRANGE(""https://docs.google.com/spreadsheets/d/1-uUXvimVhiU2U0bMN-xi2te0tS4X7DI2GLPnMjzl8cA/edit?usp=share_link"",""ลำพูน!l219"")+IMPORTRANGE(""https://docs.google.com/spreadsheets/d/17HrOaa5pBUI1onckFfumXB8xlg35qb2uBAFfF1D-Myo/edit?usp=shar"&amp;"e_link"",""สุโขทัย!l219"")+IMPORTRANGE(""https://docs.google.com/spreadsheets/d/1ubs5cl16eYL9gHbdHTJtmtYb9MGzHBs7CAphn8kNCgM/edit?usp=share_link"",""อุตรดิตถ์!l219"")+IMPORTRANGE(""https://docs.google.com/spreadsheets/d/1kII0BjS6CtVrBvI8IrytgPdxDrlyQDyigz"&amp;"MsohRtDMs/edit?usp=share_link"",""อุทัยธานี!l219"")
"),262300)</f>
        <v>262300</v>
      </c>
      <c r="M219" s="38"/>
      <c r="N219" s="283">
        <f ca="1">IFERROR(__xludf.DUMMYFUNCTION("IMPORTRANGE(""https://docs.google.com/spreadsheets/d/1KxicF4apzSqm0-jIpmueT4kyZtE-Cwn5zskl7GD4loQ/edit?usp=share_link"",""กำแพงเพชร!n219"")+IMPORTRANGE(""https://docs.google.com/spreadsheets/d/1ZNYWeiFoFA1K1U4xKWqRX29MBvEyRHXORjo734Gnq_c/edit?usp=share_li"&amp;"nk"",""เชียงราย!n219"")
+IMPORTRANGE(""https://docs.google.com/spreadsheets/d/1Jgv0Y7YlHDtsiDawwp-uvifEJ8HVaSn0k2aGHG8-hwM/edit?usp=share_link"",""เชียงใหม่!n219"")+IMPORTRANGE(""https://docs.google.com/spreadsheets/d/1JWG2rZePOz9pe-f-ObA-yDr0VoOX2kSb0qIi"&amp;"x2mTUo8/edit?usp=share_link"",""ตาก!n219"")+IMPORTRANGE(""https://docs.google.com/spreadsheets/d/10nSRjK08hx8Y6HgSOQKNw81lyY46Zc7U_Cj72hBMp9U/edit?usp=share_link"",""นครสวรรค์!n219"")+IMPORTRANGE(""https://docs.google.com/spreadsheets/d/1gFVb7qd7amutrIxAA"&amp;"oM7lcy35hllxznovot8lyOfvDo/edit?usp=share_link"",""น่าน!n219"")+IMPORTRANGE(""https://docs.google.com/spreadsheets/d/1K0Aa9s-6EuHE5M0FG1F9aHLXRCOV917xvycTdLdct0w/edit?usp=share_link"",""พะเยา!n219"")+IMPORTRANGE(""https://docs.google.com/spreadsheets/d/1Y"&amp;"9LPKx95PyL5OKy09d-KbKJSuuEZCFdkhYjwC0XQjBA/edit?usp=share_link"",""พิจิตร!n219"")+IMPORTRANGE(""https://docs.google.com/spreadsheets/d/16OMuOwy2eVqZcYWOouQtTpa8X1L23h4660uVHc0C8os/edit?usp=share_link"",""พิษณุโลก!n219"")+IMPORTRANGE(""https://docs.google."&amp;"com/spreadsheets/d/1GfgTldLG6k77HXaMQzaafODklYuucJZQNs_GAPEfZyY/edit?usp=share_link"",""เพชรบูรณ์!n219"")+IMPORTRANGE(""https://docs.google.com/spreadsheets/d/1gvTMYAnm7v1yG1BKWFtr0DnaTsq59oW9dwWvFgq6hs0/edit?usp=share_link"",""แพร่!n219"")+IMPORTRANGE("""&amp;"https://docs.google.com/spreadsheets/d/1Wbcosgy-Xa1xXUArJSOenub6EfZHUSzc_bpJFWwQUf0/edit?usp=share_link"",""แม่ฮ่องสอน!n219"")+IMPORTRANGE(""https://docs.google.com/spreadsheets/d/1p7ERhsr0qZeSn-KSOdeHS9r0heI-lHtkcn2OH7hP0jQ/edit?usp=share_link"",""ลำปาง!"&amp;"n219"")+IMPORTRANGE(""https://docs.google.com/spreadsheets/d/1-uUXvimVhiU2U0bMN-xi2te0tS4X7DI2GLPnMjzl8cA/edit?usp=share_link"",""ลำพูน!n219"")+IMPORTRANGE(""https://docs.google.com/spreadsheets/d/17HrOaa5pBUI1onckFfumXB8xlg35qb2uBAFfF1D-Myo/edit?usp=shar"&amp;"e_link"",""สุโขทัย!n219"")+IMPORTRANGE(""https://docs.google.com/spreadsheets/d/1ubs5cl16eYL9gHbdHTJtmtYb9MGzHBs7CAphn8kNCgM/edit?usp=share_link"",""อุตรดิตถ์!n219"")+IMPORTRANGE(""https://docs.google.com/spreadsheets/d/1kII0BjS6CtVrBvI8IrytgPdxDrlyQDyigz"&amp;"MsohRtDMs/edit?usp=share_link"",""อุทัยธานี!n219"")
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xicF4apzSqm0-jIpmueT4kyZtE-Cwn5zskl7GD4loQ/edit?usp=share_link"",""กำแพงเพชร!l220"")+IMPORTRANGE(""https://docs.google.com/spreadsheets/d/1ZNYWeiFoFA1K1U4xKWqRX29MBvEyRHXORjo734Gnq_c/edit?usp=share_li"&amp;"nk"",""เชียงราย!l220"")
+IMPORTRANGE(""https://docs.google.com/spreadsheets/d/1Jgv0Y7YlHDtsiDawwp-uvifEJ8HVaSn0k2aGHG8-hwM/edit?usp=share_link"",""เชียงใหม่!l220"")+IMPORTRANGE(""https://docs.google.com/spreadsheets/d/1JWG2rZePOz9pe-f-ObA-yDr0VoOX2kSb0qIi"&amp;"x2mTUo8/edit?usp=share_link"",""ตาก!l220"")+IMPORTRANGE(""https://docs.google.com/spreadsheets/d/10nSRjK08hx8Y6HgSOQKNw81lyY46Zc7U_Cj72hBMp9U/edit?usp=share_link"",""นครสวรรค์!l220"")+IMPORTRANGE(""https://docs.google.com/spreadsheets/d/1gFVb7qd7amutrIxAA"&amp;"oM7lcy35hllxznovot8lyOfvDo/edit?usp=share_link"",""น่าน!l220"")+IMPORTRANGE(""https://docs.google.com/spreadsheets/d/1K0Aa9s-6EuHE5M0FG1F9aHLXRCOV917xvycTdLdct0w/edit?usp=share_link"",""พะเยา!l220"")+IMPORTRANGE(""https://docs.google.com/spreadsheets/d/1Y"&amp;"9LPKx95PyL5OKy09d-KbKJSuuEZCFdkhYjwC0XQjBA/edit?usp=share_link"",""พิจิตร!l220"")+IMPORTRANGE(""https://docs.google.com/spreadsheets/d/16OMuOwy2eVqZcYWOouQtTpa8X1L23h4660uVHc0C8os/edit?usp=share_link"",""พิษณุโลก!l220"")+IMPORTRANGE(""https://docs.google."&amp;"com/spreadsheets/d/1GfgTldLG6k77HXaMQzaafODklYuucJZQNs_GAPEfZyY/edit?usp=share_link"",""เพชรบูรณ์!l220"")+IMPORTRANGE(""https://docs.google.com/spreadsheets/d/1gvTMYAnm7v1yG1BKWFtr0DnaTsq59oW9dwWvFgq6hs0/edit?usp=share_link"",""แพร่!l220"")+IMPORTRANGE("""&amp;"https://docs.google.com/spreadsheets/d/1Wbcosgy-Xa1xXUArJSOenub6EfZHUSzc_bpJFWwQUf0/edit?usp=share_link"",""แม่ฮ่องสอน!l220"")+IMPORTRANGE(""https://docs.google.com/spreadsheets/d/1p7ERhsr0qZeSn-KSOdeHS9r0heI-lHtkcn2OH7hP0jQ/edit?usp=share_link"",""ลำปาง!"&amp;"l220"")+IMPORTRANGE(""https://docs.google.com/spreadsheets/d/1-uUXvimVhiU2U0bMN-xi2te0tS4X7DI2GLPnMjzl8cA/edit?usp=share_link"",""ลำพูน!l220"")+IMPORTRANGE(""https://docs.google.com/spreadsheets/d/17HrOaa5pBUI1onckFfumXB8xlg35qb2uBAFfF1D-Myo/edit?usp=shar"&amp;"e_link"",""สุโขทัย!l220"")+IMPORTRANGE(""https://docs.google.com/spreadsheets/d/1ubs5cl16eYL9gHbdHTJtmtYb9MGzHBs7CAphn8kNCgM/edit?usp=share_link"",""อุตรดิตถ์!l220"")+IMPORTRANGE(""https://docs.google.com/spreadsheets/d/1kII0BjS6CtVrBvI8IrytgPdxDrlyQDyigz"&amp;"MsohRtDMs/edit?usp=share_link"",""อุทัยธานี!l220"")
"),40000)</f>
        <v>40000</v>
      </c>
      <c r="M220" s="38"/>
      <c r="N220" s="283">
        <f ca="1">IFERROR(__xludf.DUMMYFUNCTION("IMPORTRANGE(""https://docs.google.com/spreadsheets/d/1KxicF4apzSqm0-jIpmueT4kyZtE-Cwn5zskl7GD4loQ/edit?usp=share_link"",""กำแพงเพชร!n220"")+IMPORTRANGE(""https://docs.google.com/spreadsheets/d/1ZNYWeiFoFA1K1U4xKWqRX29MBvEyRHXORjo734Gnq_c/edit?usp=share_li"&amp;"nk"",""เชียงราย!n220"")
+IMPORTRANGE(""https://docs.google.com/spreadsheets/d/1Jgv0Y7YlHDtsiDawwp-uvifEJ8HVaSn0k2aGHG8-hwM/edit?usp=share_link"",""เชียงใหม่!n220"")+IMPORTRANGE(""https://docs.google.com/spreadsheets/d/1JWG2rZePOz9pe-f-ObA-yDr0VoOX2kSb0qIi"&amp;"x2mTUo8/edit?usp=share_link"",""ตาก!n220"")+IMPORTRANGE(""https://docs.google.com/spreadsheets/d/10nSRjK08hx8Y6HgSOQKNw81lyY46Zc7U_Cj72hBMp9U/edit?usp=share_link"",""นครสวรรค์!n220"")+IMPORTRANGE(""https://docs.google.com/spreadsheets/d/1gFVb7qd7amutrIxAA"&amp;"oM7lcy35hllxznovot8lyOfvDo/edit?usp=share_link"",""น่าน!n220"")+IMPORTRANGE(""https://docs.google.com/spreadsheets/d/1K0Aa9s-6EuHE5M0FG1F9aHLXRCOV917xvycTdLdct0w/edit?usp=share_link"",""พะเยา!n220"")+IMPORTRANGE(""https://docs.google.com/spreadsheets/d/1Y"&amp;"9LPKx95PyL5OKy09d-KbKJSuuEZCFdkhYjwC0XQjBA/edit?usp=share_link"",""พิจิตร!n220"")+IMPORTRANGE(""https://docs.google.com/spreadsheets/d/16OMuOwy2eVqZcYWOouQtTpa8X1L23h4660uVHc0C8os/edit?usp=share_link"",""พิษณุโลก!n220"")+IMPORTRANGE(""https://docs.google."&amp;"com/spreadsheets/d/1GfgTldLG6k77HXaMQzaafODklYuucJZQNs_GAPEfZyY/edit?usp=share_link"",""เพชรบูรณ์!n220"")+IMPORTRANGE(""https://docs.google.com/spreadsheets/d/1gvTMYAnm7v1yG1BKWFtr0DnaTsq59oW9dwWvFgq6hs0/edit?usp=share_link"",""แพร่!n220"")+IMPORTRANGE("""&amp;"https://docs.google.com/spreadsheets/d/1Wbcosgy-Xa1xXUArJSOenub6EfZHUSzc_bpJFWwQUf0/edit?usp=share_link"",""แม่ฮ่องสอน!n220"")+IMPORTRANGE(""https://docs.google.com/spreadsheets/d/1p7ERhsr0qZeSn-KSOdeHS9r0heI-lHtkcn2OH7hP0jQ/edit?usp=share_link"",""ลำปาง!"&amp;"n220"")+IMPORTRANGE(""https://docs.google.com/spreadsheets/d/1-uUXvimVhiU2U0bMN-xi2te0tS4X7DI2GLPnMjzl8cA/edit?usp=share_link"",""ลำพูน!n220"")+IMPORTRANGE(""https://docs.google.com/spreadsheets/d/17HrOaa5pBUI1onckFfumXB8xlg35qb2uBAFfF1D-Myo/edit?usp=shar"&amp;"e_link"",""สุโขทัย!n220"")+IMPORTRANGE(""https://docs.google.com/spreadsheets/d/1ubs5cl16eYL9gHbdHTJtmtYb9MGzHBs7CAphn8kNCgM/edit?usp=share_link"",""อุตรดิตถ์!n220"")+IMPORTRANGE(""https://docs.google.com/spreadsheets/d/1kII0BjS6CtVrBvI8IrytgPdxDrlyQDyigz"&amp;"MsohRtDMs/edit?usp=share_link"",""อุทัยธานี!n220"")
"),29335)</f>
        <v>29335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xicF4apzSqm0-jIpmueT4kyZtE-Cwn5zskl7GD4loQ/edit?usp=share_link"",""กำแพงเพชร!I223"")+IMPORTRANGE(""https://docs.google.com/spreadsheets/d/1ZNYWeiFoFA1K1U4xKWqRX29MBvEyRHXORjo734Gnq_c/edit?usp=share_li"&amp;"nk"",""เชียงราย!I223"")
+IMPORTRANGE(""https://docs.google.com/spreadsheets/d/1Jgv0Y7YlHDtsiDawwp-uvifEJ8HVaSn0k2aGHG8-hwM/edit?usp=share_link"",""เชียงใหม่!I223"")+IMPORTRANGE(""https://docs.google.com/spreadsheets/d/1JWG2rZePOz9pe-f-ObA-yDr0VoOX2kSb0qIi"&amp;"x2mTUo8/edit?usp=share_link"",""ตาก!I223"")+IMPORTRANGE(""https://docs.google.com/spreadsheets/d/10nSRjK08hx8Y6HgSOQKNw81lyY46Zc7U_Cj72hBMp9U/edit?usp=share_link"",""นครสวรรค์!I223"")+IMPORTRANGE(""https://docs.google.com/spreadsheets/d/1gFVb7qd7amutrIxAA"&amp;"oM7lcy35hllxznovot8lyOfvDo/edit?usp=share_link"",""น่าน!I223"")+IMPORTRANGE(""https://docs.google.com/spreadsheets/d/1K0Aa9s-6EuHE5M0FG1F9aHLXRCOV917xvycTdLdct0w/edit?usp=share_link"",""พะเยา!I223"")+IMPORTRANGE(""https://docs.google.com/spreadsheets/d/1Y"&amp;"9LPKx95PyL5OKy09d-KbKJSuuEZCFdkhYjwC0XQjBA/edit?usp=share_link"",""พิจิตร!I223"")+IMPORTRANGE(""https://docs.google.com/spreadsheets/d/16OMuOwy2eVqZcYWOouQtTpa8X1L23h4660uVHc0C8os/edit?usp=share_link"",""พิษณุโลก!I223"")+IMPORTRANGE(""https://docs.google."&amp;"com/spreadsheets/d/1GfgTldLG6k77HXaMQzaafODklYuucJZQNs_GAPEfZyY/edit?usp=share_link"",""เพชรบูรณ์!I223"")+IMPORTRANGE(""https://docs.google.com/spreadsheets/d/1gvTMYAnm7v1yG1BKWFtr0DnaTsq59oW9dwWvFgq6hs0/edit?usp=share_link"",""แพร่!I223"")+IMPORTRANGE("""&amp;"https://docs.google.com/spreadsheets/d/1Wbcosgy-Xa1xXUArJSOenub6EfZHUSzc_bpJFWwQUf0/edit?usp=share_link"",""แม่ฮ่องสอน!I223"")+IMPORTRANGE(""https://docs.google.com/spreadsheets/d/1p7ERhsr0qZeSn-KSOdeHS9r0heI-lHtkcn2OH7hP0jQ/edit?usp=share_link"",""ลำปาง!"&amp;"I223"")+IMPORTRANGE(""https://docs.google.com/spreadsheets/d/1-uUXvimVhiU2U0bMN-xi2te0tS4X7DI2GLPnMjzl8cA/edit?usp=share_link"",""ลำพูน!I223"")+IMPORTRANGE(""https://docs.google.com/spreadsheets/d/17HrOaa5pBUI1onckFfumXB8xlg35qb2uBAFfF1D-Myo/edit?usp=shar"&amp;"e_link"",""สุโขทัย!I223"")+IMPORTRANGE(""https://docs.google.com/spreadsheets/d/1ubs5cl16eYL9gHbdHTJtmtYb9MGzHBs7CAphn8kNCgM/edit?usp=share_link"",""อุตรดิตถ์!I223"")+IMPORTRANGE(""https://docs.google.com/spreadsheets/d/1kII0BjS6CtVrBvI8IrytgPdxDrlyQDyigz"&amp;"MsohRtDMs/edit?usp=share_link"",""อุทัยธานี!I223"")
"),1001000)</f>
        <v>1001000</v>
      </c>
      <c r="J223" s="183">
        <f ca="1">IFERROR(__xludf.DUMMYFUNCTION("IMPORTRANGE(""https://docs.google.com/spreadsheets/d/1KxicF4apzSqm0-jIpmueT4kyZtE-Cwn5zskl7GD4loQ/edit?usp=share_link"",""กำแพงเพชร!J223"")+IMPORTRANGE(""https://docs.google.com/spreadsheets/d/1ZNYWeiFoFA1K1U4xKWqRX29MBvEyRHXORjo734Gnq_c/edit?usp=share_li"&amp;"nk"",""เชียงราย!J223"")
+IMPORTRANGE(""https://docs.google.com/spreadsheets/d/1Jgv0Y7YlHDtsiDawwp-uvifEJ8HVaSn0k2aGHG8-hwM/edit?usp=share_link"",""เชียงใหม่!J223"")+IMPORTRANGE(""https://docs.google.com/spreadsheets/d/1JWG2rZePOz9pe-f-ObA-yDr0VoOX2kSb0qIi"&amp;"x2mTUo8/edit?usp=share_link"",""ตาก!J223"")+IMPORTRANGE(""https://docs.google.com/spreadsheets/d/10nSRjK08hx8Y6HgSOQKNw81lyY46Zc7U_Cj72hBMp9U/edit?usp=share_link"",""นครสวรรค์!J223"")+IMPORTRANGE(""https://docs.google.com/spreadsheets/d/1gFVb7qd7amutrIxAA"&amp;"oM7lcy35hllxznovot8lyOfvDo/edit?usp=share_link"",""น่าน!J223"")+IMPORTRANGE(""https://docs.google.com/spreadsheets/d/1K0Aa9s-6EuHE5M0FG1F9aHLXRCOV917xvycTdLdct0w/edit?usp=share_link"",""พะเยา!J223"")+IMPORTRANGE(""https://docs.google.com/spreadsheets/d/1Y"&amp;"9LPKx95PyL5OKy09d-KbKJSuuEZCFdkhYjwC0XQjBA/edit?usp=share_link"",""พิจิตร!J223"")+IMPORTRANGE(""https://docs.google.com/spreadsheets/d/16OMuOwy2eVqZcYWOouQtTpa8X1L23h4660uVHc0C8os/edit?usp=share_link"",""พิษณุโลก!J223"")+IMPORTRANGE(""https://docs.google."&amp;"com/spreadsheets/d/1GfgTldLG6k77HXaMQzaafODklYuucJZQNs_GAPEfZyY/edit?usp=share_link"",""เพชรบูรณ์!J223"")+IMPORTRANGE(""https://docs.google.com/spreadsheets/d/1gvTMYAnm7v1yG1BKWFtr0DnaTsq59oW9dwWvFgq6hs0/edit?usp=share_link"",""แพร่!J223"")+IMPORTRANGE("""&amp;"https://docs.google.com/spreadsheets/d/1Wbcosgy-Xa1xXUArJSOenub6EfZHUSzc_bpJFWwQUf0/edit?usp=share_link"",""แม่ฮ่องสอน!J223"")+IMPORTRANGE(""https://docs.google.com/spreadsheets/d/1p7ERhsr0qZeSn-KSOdeHS9r0heI-lHtkcn2OH7hP0jQ/edit?usp=share_link"",""ลำปาง!"&amp;"J223"")+IMPORTRANGE(""https://docs.google.com/spreadsheets/d/1-uUXvimVhiU2U0bMN-xi2te0tS4X7DI2GLPnMjzl8cA/edit?usp=share_link"",""ลำพูน!J223"")+IMPORTRANGE(""https://docs.google.com/spreadsheets/d/17HrOaa5pBUI1onckFfumXB8xlg35qb2uBAFfF1D-Myo/edit?usp=shar"&amp;"e_link"",""สุโขทัย!J223"")+IMPORTRANGE(""https://docs.google.com/spreadsheets/d/1ubs5cl16eYL9gHbdHTJtmtYb9MGzHBs7CAphn8kNCgM/edit?usp=share_link"",""อุตรดิตถ์!J223"")+IMPORTRANGE(""https://docs.google.com/spreadsheets/d/1kII0BjS6CtVrBvI8IrytgPdxDrlyQDyigz"&amp;"MsohRtDMs/edit?usp=share_link"",""อุทัยธานี!J223"")
"),228000)</f>
        <v>228000</v>
      </c>
      <c r="K223" s="163">
        <f t="shared" ref="K223:K226" ca="1" si="126">IF(I223&gt;0,J223*100/I223,0)</f>
        <v>22.777222777222779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xicF4apzSqm0-jIpmueT4kyZtE-Cwn5zskl7GD4loQ/edit?usp=share_link"",""กำแพงเพชร!I224"")+IMPORTRANGE(""https://docs.google.com/spreadsheets/d/1ZNYWeiFoFA1K1U4xKWqRX29MBvEyRHXORjo734Gnq_c/edit?usp=share_li"&amp;"nk"",""เชียงราย!I224"")
+IMPORTRANGE(""https://docs.google.com/spreadsheets/d/1Jgv0Y7YlHDtsiDawwp-uvifEJ8HVaSn0k2aGHG8-hwM/edit?usp=share_link"",""เชียงใหม่!I224"")+IMPORTRANGE(""https://docs.google.com/spreadsheets/d/1JWG2rZePOz9pe-f-ObA-yDr0VoOX2kSb0qIi"&amp;"x2mTUo8/edit?usp=share_link"",""ตาก!I224"")+IMPORTRANGE(""https://docs.google.com/spreadsheets/d/10nSRjK08hx8Y6HgSOQKNw81lyY46Zc7U_Cj72hBMp9U/edit?usp=share_link"",""นครสวรรค์!I224"")+IMPORTRANGE(""https://docs.google.com/spreadsheets/d/1gFVb7qd7amutrIxAA"&amp;"oM7lcy35hllxznovot8lyOfvDo/edit?usp=share_link"",""น่าน!I224"")+IMPORTRANGE(""https://docs.google.com/spreadsheets/d/1K0Aa9s-6EuHE5M0FG1F9aHLXRCOV917xvycTdLdct0w/edit?usp=share_link"",""พะเยา!I224"")+IMPORTRANGE(""https://docs.google.com/spreadsheets/d/1Y"&amp;"9LPKx95PyL5OKy09d-KbKJSuuEZCFdkhYjwC0XQjBA/edit?usp=share_link"",""พิจิตร!I224"")+IMPORTRANGE(""https://docs.google.com/spreadsheets/d/16OMuOwy2eVqZcYWOouQtTpa8X1L23h4660uVHc0C8os/edit?usp=share_link"",""พิษณุโลก!I224"")+IMPORTRANGE(""https://docs.google."&amp;"com/spreadsheets/d/1GfgTldLG6k77HXaMQzaafODklYuucJZQNs_GAPEfZyY/edit?usp=share_link"",""เพชรบูรณ์!I224"")+IMPORTRANGE(""https://docs.google.com/spreadsheets/d/1gvTMYAnm7v1yG1BKWFtr0DnaTsq59oW9dwWvFgq6hs0/edit?usp=share_link"",""แพร่!I224"")+IMPORTRANGE("""&amp;"https://docs.google.com/spreadsheets/d/1Wbcosgy-Xa1xXUArJSOenub6EfZHUSzc_bpJFWwQUf0/edit?usp=share_link"",""แม่ฮ่องสอน!I224"")+IMPORTRANGE(""https://docs.google.com/spreadsheets/d/1p7ERhsr0qZeSn-KSOdeHS9r0heI-lHtkcn2OH7hP0jQ/edit?usp=share_link"",""ลำปาง!"&amp;"I224"")+IMPORTRANGE(""https://docs.google.com/spreadsheets/d/1-uUXvimVhiU2U0bMN-xi2te0tS4X7DI2GLPnMjzl8cA/edit?usp=share_link"",""ลำพูน!I224"")+IMPORTRANGE(""https://docs.google.com/spreadsheets/d/17HrOaa5pBUI1onckFfumXB8xlg35qb2uBAFfF1D-Myo/edit?usp=shar"&amp;"e_link"",""สุโขทัย!I224"")+IMPORTRANGE(""https://docs.google.com/spreadsheets/d/1ubs5cl16eYL9gHbdHTJtmtYb9MGzHBs7CAphn8kNCgM/edit?usp=share_link"",""อุตรดิตถ์!I224"")+IMPORTRANGE(""https://docs.google.com/spreadsheets/d/1kII0BjS6CtVrBvI8IrytgPdxDrlyQDyigz"&amp;"MsohRtDMs/edit?usp=share_link"",""อุทัยธานี!I224"")
"),1001000)</f>
        <v>1001000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"),0)</f>
        <v>0</v>
      </c>
      <c r="K224" s="163">
        <f t="shared" ca="1" si="126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xicF4apzSqm0-jIpmueT4kyZtE-Cwn5zskl7GD4loQ/edit?usp=share_link"",""กำแพงเพชร!I225"")+IMPORTRANGE(""https://docs.google.com/spreadsheets/d/1ZNYWeiFoFA1K1U4xKWqRX29MBvEyRHXORjo734Gnq_c/edit?usp=share_li"&amp;"nk"",""เชียงราย!I225"")
+IMPORTRANGE(""https://docs.google.com/spreadsheets/d/1Jgv0Y7YlHDtsiDawwp-uvifEJ8HVaSn0k2aGHG8-hwM/edit?usp=share_link"",""เชียงใหม่!I225"")+IMPORTRANGE(""https://docs.google.com/spreadsheets/d/1JWG2rZePOz9pe-f-ObA-yDr0VoOX2kSb0qIi"&amp;"x2mTUo8/edit?usp=share_link"",""ตาก!I225"")+IMPORTRANGE(""https://docs.google.com/spreadsheets/d/10nSRjK08hx8Y6HgSOQKNw81lyY46Zc7U_Cj72hBMp9U/edit?usp=share_link"",""นครสวรรค์!I225"")+IMPORTRANGE(""https://docs.google.com/spreadsheets/d/1gFVb7qd7amutrIxAA"&amp;"oM7lcy35hllxznovot8lyOfvDo/edit?usp=share_link"",""น่าน!I225"")+IMPORTRANGE(""https://docs.google.com/spreadsheets/d/1K0Aa9s-6EuHE5M0FG1F9aHLXRCOV917xvycTdLdct0w/edit?usp=share_link"",""พะเยา!I225"")+IMPORTRANGE(""https://docs.google.com/spreadsheets/d/1Y"&amp;"9LPKx95PyL5OKy09d-KbKJSuuEZCFdkhYjwC0XQjBA/edit?usp=share_link"",""พิจิตร!I225"")+IMPORTRANGE(""https://docs.google.com/spreadsheets/d/16OMuOwy2eVqZcYWOouQtTpa8X1L23h4660uVHc0C8os/edit?usp=share_link"",""พิษณุโลก!I225"")+IMPORTRANGE(""https://docs.google."&amp;"com/spreadsheets/d/1GfgTldLG6k77HXaMQzaafODklYuucJZQNs_GAPEfZyY/edit?usp=share_link"",""เพชรบูรณ์!I225"")+IMPORTRANGE(""https://docs.google.com/spreadsheets/d/1gvTMYAnm7v1yG1BKWFtr0DnaTsq59oW9dwWvFgq6hs0/edit?usp=share_link"",""แพร่!I225"")+IMPORTRANGE("""&amp;"https://docs.google.com/spreadsheets/d/1Wbcosgy-Xa1xXUArJSOenub6EfZHUSzc_bpJFWwQUf0/edit?usp=share_link"",""แม่ฮ่องสอน!I225"")+IMPORTRANGE(""https://docs.google.com/spreadsheets/d/1p7ERhsr0qZeSn-KSOdeHS9r0heI-lHtkcn2OH7hP0jQ/edit?usp=share_link"",""ลำปาง!"&amp;"I225"")+IMPORTRANGE(""https://docs.google.com/spreadsheets/d/1-uUXvimVhiU2U0bMN-xi2te0tS4X7DI2GLPnMjzl8cA/edit?usp=share_link"",""ลำพูน!I225"")+IMPORTRANGE(""https://docs.google.com/spreadsheets/d/17HrOaa5pBUI1onckFfumXB8xlg35qb2uBAFfF1D-Myo/edit?usp=shar"&amp;"e_link"",""สุโขทัย!I225"")+IMPORTRANGE(""https://docs.google.com/spreadsheets/d/1ubs5cl16eYL9gHbdHTJtmtYb9MGzHBs7CAphn8kNCgM/edit?usp=share_link"",""อุตรดิตถ์!I225"")+IMPORTRANGE(""https://docs.google.com/spreadsheets/d/1kII0BjS6CtVrBvI8IrytgPdxDrlyQDyigz"&amp;"MsohRtDMs/edit?usp=share_link"",""อุทัยธานี!I225"")
"),40)</f>
        <v>40</v>
      </c>
      <c r="J225" s="183">
        <f ca="1">IFERROR(__xludf.DUMMYFUNCTION("IMPORTRANGE(""https://docs.google.com/spreadsheets/d/1KxicF4apzSqm0-jIpmueT4kyZtE-Cwn5zskl7GD4loQ/edit?usp=share_link"",""กำแพงเพชร!J225"")+IMPORTRANGE(""https://docs.google.com/spreadsheets/d/1ZNYWeiFoFA1K1U4xKWqRX29MBvEyRHXORjo734Gnq_c/edit?usp=share_li"&amp;"nk"",""เชียงราย!J225"")
+IMPORTRANGE(""https://docs.google.com/spreadsheets/d/1Jgv0Y7YlHDtsiDawwp-uvifEJ8HVaSn0k2aGHG8-hwM/edit?usp=share_link"",""เชียงใหม่!J225"")+IMPORTRANGE(""https://docs.google.com/spreadsheets/d/1JWG2rZePOz9pe-f-ObA-yDr0VoOX2kSb0qIi"&amp;"x2mTUo8/edit?usp=share_link"",""ตาก!J225"")+IMPORTRANGE(""https://docs.google.com/spreadsheets/d/10nSRjK08hx8Y6HgSOQKNw81lyY46Zc7U_Cj72hBMp9U/edit?usp=share_link"",""นครสวรรค์!J225"")+IMPORTRANGE(""https://docs.google.com/spreadsheets/d/1gFVb7qd7amutrIxAA"&amp;"oM7lcy35hllxznovot8lyOfvDo/edit?usp=share_link"",""น่าน!J225"")+IMPORTRANGE(""https://docs.google.com/spreadsheets/d/1K0Aa9s-6EuHE5M0FG1F9aHLXRCOV917xvycTdLdct0w/edit?usp=share_link"",""พะเยา!J225"")+IMPORTRANGE(""https://docs.google.com/spreadsheets/d/1Y"&amp;"9LPKx95PyL5OKy09d-KbKJSuuEZCFdkhYjwC0XQjBA/edit?usp=share_link"",""พิจิตร!J225"")+IMPORTRANGE(""https://docs.google.com/spreadsheets/d/16OMuOwy2eVqZcYWOouQtTpa8X1L23h4660uVHc0C8os/edit?usp=share_link"",""พิษณุโลก!J225"")+IMPORTRANGE(""https://docs.google."&amp;"com/spreadsheets/d/1GfgTldLG6k77HXaMQzaafODklYuucJZQNs_GAPEfZyY/edit?usp=share_link"",""เพชรบูรณ์!J225"")+IMPORTRANGE(""https://docs.google.com/spreadsheets/d/1gvTMYAnm7v1yG1BKWFtr0DnaTsq59oW9dwWvFgq6hs0/edit?usp=share_link"",""แพร่!J225"")+IMPORTRANGE("""&amp;"https://docs.google.com/spreadsheets/d/1Wbcosgy-Xa1xXUArJSOenub6EfZHUSzc_bpJFWwQUf0/edit?usp=share_link"",""แม่ฮ่องสอน!J225"")+IMPORTRANGE(""https://docs.google.com/spreadsheets/d/1p7ERhsr0qZeSn-KSOdeHS9r0heI-lHtkcn2OH7hP0jQ/edit?usp=share_link"",""ลำปาง!"&amp;"J225"")+IMPORTRANGE(""https://docs.google.com/spreadsheets/d/1-uUXvimVhiU2U0bMN-xi2te0tS4X7DI2GLPnMjzl8cA/edit?usp=share_link"",""ลำพูน!J225"")+IMPORTRANGE(""https://docs.google.com/spreadsheets/d/17HrOaa5pBUI1onckFfumXB8xlg35qb2uBAFfF1D-Myo/edit?usp=shar"&amp;"e_link"",""สุโขทัย!J225"")+IMPORTRANGE(""https://docs.google.com/spreadsheets/d/1ubs5cl16eYL9gHbdHTJtmtYb9MGzHBs7CAphn8kNCgM/edit?usp=share_link"",""อุตรดิตถ์!J225"")+IMPORTRANGE(""https://docs.google.com/spreadsheets/d/1kII0BjS6CtVrBvI8IrytgPdxDrlyQDyigz"&amp;"MsohRtDMs/edit?usp=share_link"",""อุทัยธานี!J225"")
"),30)</f>
        <v>30</v>
      </c>
      <c r="K225" s="163">
        <f t="shared" ca="1" si="126"/>
        <v>75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7">I237+I248</f>
        <v>320</v>
      </c>
      <c r="J226" s="299">
        <f t="shared" ca="1" si="127"/>
        <v>270</v>
      </c>
      <c r="K226" s="300">
        <f t="shared" ca="1" si="126"/>
        <v>84.375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8">L238+L249</f>
        <v>1907530</v>
      </c>
      <c r="M227" s="311"/>
      <c r="N227" s="311">
        <f t="shared" ref="N227:N231" ca="1" si="129">N238+N249</f>
        <v>3159691.44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8"/>
        <v>1098900</v>
      </c>
      <c r="M228" s="322"/>
      <c r="N228" s="322">
        <f t="shared" ca="1" si="129"/>
        <v>347028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8"/>
        <v>553630</v>
      </c>
      <c r="M229" s="322"/>
      <c r="N229" s="322">
        <f t="shared" ca="1" si="129"/>
        <v>407857.27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8"/>
        <v>85000</v>
      </c>
      <c r="M230" s="322"/>
      <c r="N230" s="322">
        <f t="shared" ca="1" si="129"/>
        <v>2404806.17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8"/>
        <v>170000</v>
      </c>
      <c r="M231" s="322"/>
      <c r="N231" s="322">
        <f t="shared" ca="1" si="129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30">I244+I255</f>
        <v>320</v>
      </c>
      <c r="J233" s="326">
        <f t="shared" ca="1" si="130"/>
        <v>270</v>
      </c>
      <c r="K233" s="322">
        <f ca="1">IF(I233&gt;0,J233*100/I233,0)</f>
        <v>84.375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1">I246+I257</f>
        <v>120</v>
      </c>
      <c r="J235" s="326">
        <f t="shared" ca="1" si="131"/>
        <v>0</v>
      </c>
      <c r="K235" s="322">
        <f t="shared" ref="K235:K237" ca="1" si="132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3">I247+I258</f>
        <v>9</v>
      </c>
      <c r="J236" s="326">
        <f t="shared" ca="1" si="133"/>
        <v>0</v>
      </c>
      <c r="K236" s="322">
        <f t="shared" ca="1" si="132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256"/>
      <c r="B237" s="264"/>
      <c r="C237" s="340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34">I244</f>
        <v>280</v>
      </c>
      <c r="J237" s="272">
        <f t="shared" ca="1" si="134"/>
        <v>230</v>
      </c>
      <c r="K237" s="273">
        <f t="shared" ca="1" si="132"/>
        <v>82.142857142857139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50" t="s">
        <v>17</v>
      </c>
      <c r="E238" s="148"/>
      <c r="F238" s="148"/>
      <c r="G238" s="151"/>
      <c r="H238" s="275" t="s">
        <v>12</v>
      </c>
      <c r="I238" s="279"/>
      <c r="J238" s="279"/>
      <c r="K238" s="280"/>
      <c r="L238" s="155">
        <f ca="1">L239+L240+L241+L242</f>
        <v>1629930</v>
      </c>
      <c r="M238" s="155"/>
      <c r="N238" s="155">
        <f ca="1">N239+N240+N241+N242</f>
        <v>657975.27</v>
      </c>
      <c r="O238" s="155">
        <f ca="1">IF(L238&gt;0,N238*100/L238,0)</f>
        <v>40.368314590197123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17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KxicF4apzSqm0-jIpmueT4kyZtE-Cwn5zskl7GD4loQ/edit?usp=share_link"",""กำแพงเพชร!l239"")+IMPORTRANGE(""https://docs.google.com/spreadsheets/d/1ZNYWeiFoFA1K1U4xKWqRX29MBvEyRHXORjo734Gnq_c/edit?usp=share_li"&amp;"nk"",""เชียงราย!l239"")
+IMPORTRANGE(""https://docs.google.com/spreadsheets/d/1Jgv0Y7YlHDtsiDawwp-uvifEJ8HVaSn0k2aGHG8-hwM/edit?usp=share_link"",""เชียงใหม่!l239"")+IMPORTRANGE(""https://docs.google.com/spreadsheets/d/1JWG2rZePOz9pe-f-ObA-yDr0VoOX2kSb0qIi"&amp;"x2mTUo8/edit?usp=share_link"",""ตาก!l239"")+IMPORTRANGE(""https://docs.google.com/spreadsheets/d/10nSRjK08hx8Y6HgSOQKNw81lyY46Zc7U_Cj72hBMp9U/edit?usp=share_link"",""นครสวรรค์!l239"")+IMPORTRANGE(""https://docs.google.com/spreadsheets/d/1gFVb7qd7amutrIxAA"&amp;"oM7lcy35hllxznovot8lyOfvDo/edit?usp=share_link"",""น่าน!l239"")+IMPORTRANGE(""https://docs.google.com/spreadsheets/d/1K0Aa9s-6EuHE5M0FG1F9aHLXRCOV917xvycTdLdct0w/edit?usp=share_link"",""พะเยา!l239"")+IMPORTRANGE(""https://docs.google.com/spreadsheets/d/1Y"&amp;"9LPKx95PyL5OKy09d-KbKJSuuEZCFdkhYjwC0XQjBA/edit?usp=share_link"",""พิจิตร!l239"")+IMPORTRANGE(""https://docs.google.com/spreadsheets/d/16OMuOwy2eVqZcYWOouQtTpa8X1L23h4660uVHc0C8os/edit?usp=share_link"",""พิษณุโลก!l239"")+IMPORTRANGE(""https://docs.google."&amp;"com/spreadsheets/d/1GfgTldLG6k77HXaMQzaafODklYuucJZQNs_GAPEfZyY/edit?usp=share_link"",""เพชรบูรณ์!l239"")+IMPORTRANGE(""https://docs.google.com/spreadsheets/d/1gvTMYAnm7v1yG1BKWFtr0DnaTsq59oW9dwWvFgq6hs0/edit?usp=share_link"",""แพร่!l239"")+IMPORTRANGE("""&amp;"https://docs.google.com/spreadsheets/d/1Wbcosgy-Xa1xXUArJSOenub6EfZHUSzc_bpJFWwQUf0/edit?usp=share_link"",""แม่ฮ่องสอน!l239"")+IMPORTRANGE(""https://docs.google.com/spreadsheets/d/1p7ERhsr0qZeSn-KSOdeHS9r0heI-lHtkcn2OH7hP0jQ/edit?usp=share_link"",""ลำปาง!"&amp;"l239"")+IMPORTRANGE(""https://docs.google.com/spreadsheets/d/1-uUXvimVhiU2U0bMN-xi2te0tS4X7DI2GLPnMjzl8cA/edit?usp=share_link"",""ลำพูน!l239"")+IMPORTRANGE(""https://docs.google.com/spreadsheets/d/17HrOaa5pBUI1onckFfumXB8xlg35qb2uBAFfF1D-Myo/edit?usp=shar"&amp;"e_link"",""สุโขทัย!l239"")+IMPORTRANGE(""https://docs.google.com/spreadsheets/d/1ubs5cl16eYL9gHbdHTJtmtYb9MGzHBs7CAphn8kNCgM/edit?usp=share_link"",""อุตรดิตถ์!l239"")+IMPORTRANGE(""https://docs.google.com/spreadsheets/d/1kII0BjS6CtVrBvI8IrytgPdxDrlyQDyigz"&amp;"MsohRtDMs/edit?usp=share_link"",""อุทัยธานี!l239"")
"),933900)</f>
        <v>933900</v>
      </c>
      <c r="M239" s="322"/>
      <c r="N239" s="341">
        <f ca="1">IFERROR(__xludf.DUMMYFUNCTION("IMPORTRANGE(""https://docs.google.com/spreadsheets/d/1KxicF4apzSqm0-jIpmueT4kyZtE-Cwn5zskl7GD4loQ/edit?usp=share_link"",""กำแพงเพชร!n239"")+IMPORTRANGE(""https://docs.google.com/spreadsheets/d/1ZNYWeiFoFA1K1U4xKWqRX29MBvEyRHXORjo734Gnq_c/edit?usp=share_li"&amp;"nk"",""เชียงราย!n239"")
+IMPORTRANGE(""https://docs.google.com/spreadsheets/d/1Jgv0Y7YlHDtsiDawwp-uvifEJ8HVaSn0k2aGHG8-hwM/edit?usp=share_link"",""เชียงใหม่!n239"")+IMPORTRANGE(""https://docs.google.com/spreadsheets/d/1JWG2rZePOz9pe-f-ObA-yDr0VoOX2kSb0qIi"&amp;"x2mTUo8/edit?usp=share_link"",""ตาก!n239"")+IMPORTRANGE(""https://docs.google.com/spreadsheets/d/10nSRjK08hx8Y6HgSOQKNw81lyY46Zc7U_Cj72hBMp9U/edit?usp=share_link"",""นครสวรรค์!n239"")+IMPORTRANGE(""https://docs.google.com/spreadsheets/d/1gFVb7qd7amutrIxAA"&amp;"oM7lcy35hllxznovot8lyOfvDo/edit?usp=share_link"",""น่าน!n239"")+IMPORTRANGE(""https://docs.google.com/spreadsheets/d/1K0Aa9s-6EuHE5M0FG1F9aHLXRCOV917xvycTdLdct0w/edit?usp=share_link"",""พะเยา!n239"")+IMPORTRANGE(""https://docs.google.com/spreadsheets/d/1Y"&amp;"9LPKx95PyL5OKy09d-KbKJSuuEZCFdkhYjwC0XQjBA/edit?usp=share_link"",""พิจิตร!n239"")+IMPORTRANGE(""https://docs.google.com/spreadsheets/d/16OMuOwy2eVqZcYWOouQtTpa8X1L23h4660uVHc0C8os/edit?usp=share_link"",""พิษณุโลก!n239"")+IMPORTRANGE(""https://docs.google."&amp;"com/spreadsheets/d/1GfgTldLG6k77HXaMQzaafODklYuucJZQNs_GAPEfZyY/edit?usp=share_link"",""เพชรบูรณ์!n239"")+IMPORTRANGE(""https://docs.google.com/spreadsheets/d/1gvTMYAnm7v1yG1BKWFtr0DnaTsq59oW9dwWvFgq6hs0/edit?usp=share_link"",""แพร่!n239"")+IMPORTRANGE("""&amp;"https://docs.google.com/spreadsheets/d/1Wbcosgy-Xa1xXUArJSOenub6EfZHUSzc_bpJFWwQUf0/edit?usp=share_link"",""แม่ฮ่องสอน!n239"")+IMPORTRANGE(""https://docs.google.com/spreadsheets/d/1p7ERhsr0qZeSn-KSOdeHS9r0heI-lHtkcn2OH7hP0jQ/edit?usp=share_link"",""ลำปาง!"&amp;"n239"")+IMPORTRANGE(""https://docs.google.com/spreadsheets/d/1-uUXvimVhiU2U0bMN-xi2te0tS4X7DI2GLPnMjzl8cA/edit?usp=share_link"",""ลำพูน!n239"")+IMPORTRANGE(""https://docs.google.com/spreadsheets/d/17HrOaa5pBUI1onckFfumXB8xlg35qb2uBAFfF1D-Myo/edit?usp=shar"&amp;"e_link"",""สุโขทัย!n239"")+IMPORTRANGE(""https://docs.google.com/spreadsheets/d/1ubs5cl16eYL9gHbdHTJtmtYb9MGzHBs7CAphn8kNCgM/edit?usp=share_link"",""อุตรดิตถ์!n239"")+IMPORTRANGE(""https://docs.google.com/spreadsheets/d/1kII0BjS6CtVrBvI8IrytgPdxDrlyQDyigz"&amp;"MsohRtDMs/edit?usp=share_link"",""อุทัยธานี!n239"")
"),284488)</f>
        <v>284488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KxicF4apzSqm0-jIpmueT4kyZtE-Cwn5zskl7GD4loQ/edit?usp=share_link"",""กำแพงเพชร!l240"")+IMPORTRANGE(""https://docs.google.com/spreadsheets/d/1ZNYWeiFoFA1K1U4xKWqRX29MBvEyRHXORjo734Gnq_c/edit?usp=share_li"&amp;"nk"",""เชียงราย!l240"")
+IMPORTRANGE(""https://docs.google.com/spreadsheets/d/1Jgv0Y7YlHDtsiDawwp-uvifEJ8HVaSn0k2aGHG8-hwM/edit?usp=share_link"",""เชียงใหม่!l240"")+IMPORTRANGE(""https://docs.google.com/spreadsheets/d/1JWG2rZePOz9pe-f-ObA-yDr0VoOX2kSb0qIi"&amp;"x2mTUo8/edit?usp=share_link"",""ตาก!l240"")+IMPORTRANGE(""https://docs.google.com/spreadsheets/d/10nSRjK08hx8Y6HgSOQKNw81lyY46Zc7U_Cj72hBMp9U/edit?usp=share_link"",""นครสวรรค์!l240"")+IMPORTRANGE(""https://docs.google.com/spreadsheets/d/1gFVb7qd7amutrIxAA"&amp;"oM7lcy35hllxznovot8lyOfvDo/edit?usp=share_link"",""น่าน!l240"")+IMPORTRANGE(""https://docs.google.com/spreadsheets/d/1K0Aa9s-6EuHE5M0FG1F9aHLXRCOV917xvycTdLdct0w/edit?usp=share_link"",""พะเยา!l240"")+IMPORTRANGE(""https://docs.google.com/spreadsheets/d/1Y"&amp;"9LPKx95PyL5OKy09d-KbKJSuuEZCFdkhYjwC0XQjBA/edit?usp=share_link"",""พิจิตร!l240"")+IMPORTRANGE(""https://docs.google.com/spreadsheets/d/16OMuOwy2eVqZcYWOouQtTpa8X1L23h4660uVHc0C8os/edit?usp=share_link"",""พิษณุโลก!l240"")+IMPORTRANGE(""https://docs.google."&amp;"com/spreadsheets/d/1GfgTldLG6k77HXaMQzaafODklYuucJZQNs_GAPEfZyY/edit?usp=share_link"",""เพชรบูรณ์!l240"")+IMPORTRANGE(""https://docs.google.com/spreadsheets/d/1gvTMYAnm7v1yG1BKWFtr0DnaTsq59oW9dwWvFgq6hs0/edit?usp=share_link"",""แพร่!l240"")+IMPORTRANGE("""&amp;"https://docs.google.com/spreadsheets/d/1Wbcosgy-Xa1xXUArJSOenub6EfZHUSzc_bpJFWwQUf0/edit?usp=share_link"",""แม่ฮ่องสอน!l240"")+IMPORTRANGE(""https://docs.google.com/spreadsheets/d/1p7ERhsr0qZeSn-KSOdeHS9r0heI-lHtkcn2OH7hP0jQ/edit?usp=share_link"",""ลำปาง!"&amp;"l240"")+IMPORTRANGE(""https://docs.google.com/spreadsheets/d/1-uUXvimVhiU2U0bMN-xi2te0tS4X7DI2GLPnMjzl8cA/edit?usp=share_link"",""ลำพูน!l240"")+IMPORTRANGE(""https://docs.google.com/spreadsheets/d/17HrOaa5pBUI1onckFfumXB8xlg35qb2uBAFfF1D-Myo/edit?usp=shar"&amp;"e_link"",""สุโขทัย!l240"")+IMPORTRANGE(""https://docs.google.com/spreadsheets/d/1ubs5cl16eYL9gHbdHTJtmtYb9MGzHBs7CAphn8kNCgM/edit?usp=share_link"",""อุตรดิตถ์!l240"")+IMPORTRANGE(""https://docs.google.com/spreadsheets/d/1kII0BjS6CtVrBvI8IrytgPdxDrlyQDyigz"&amp;"MsohRtDMs/edit?usp=share_link"",""อุทัยธานี!l240"")
"),496030)</f>
        <v>496030</v>
      </c>
      <c r="M240" s="322"/>
      <c r="N240" s="341">
        <f ca="1">IFERROR(__xludf.DUMMYFUNCTION("IMPORTRANGE(""https://docs.google.com/spreadsheets/d/1KxicF4apzSqm0-jIpmueT4kyZtE-Cwn5zskl7GD4loQ/edit?usp=share_link"",""กำแพงเพชร!n240"")+IMPORTRANGE(""https://docs.google.com/spreadsheets/d/1ZNYWeiFoFA1K1U4xKWqRX29MBvEyRHXORjo734Gnq_c/edit?usp=share_li"&amp;"nk"",""เชียงราย!n240"")
+IMPORTRANGE(""https://docs.google.com/spreadsheets/d/1Jgv0Y7YlHDtsiDawwp-uvifEJ8HVaSn0k2aGHG8-hwM/edit?usp=share_link"",""เชียงใหม่!n240"")+IMPORTRANGE(""https://docs.google.com/spreadsheets/d/1JWG2rZePOz9pe-f-ObA-yDr0VoOX2kSb0qIi"&amp;"x2mTUo8/edit?usp=share_link"",""ตาก!n240"")+IMPORTRANGE(""https://docs.google.com/spreadsheets/d/10nSRjK08hx8Y6HgSOQKNw81lyY46Zc7U_Cj72hBMp9U/edit?usp=share_link"",""นครสวรรค์!n240"")+IMPORTRANGE(""https://docs.google.com/spreadsheets/d/1gFVb7qd7amutrIxAA"&amp;"oM7lcy35hllxznovot8lyOfvDo/edit?usp=share_link"",""น่าน!n240"")+IMPORTRANGE(""https://docs.google.com/spreadsheets/d/1K0Aa9s-6EuHE5M0FG1F9aHLXRCOV917xvycTdLdct0w/edit?usp=share_link"",""พะเยา!n240"")+IMPORTRANGE(""https://docs.google.com/spreadsheets/d/1Y"&amp;"9LPKx95PyL5OKy09d-KbKJSuuEZCFdkhYjwC0XQjBA/edit?usp=share_link"",""พิจิตร!n240"")+IMPORTRANGE(""https://docs.google.com/spreadsheets/d/16OMuOwy2eVqZcYWOouQtTpa8X1L23h4660uVHc0C8os/edit?usp=share_link"",""พิษณุโลก!n240"")+IMPORTRANGE(""https://docs.google."&amp;"com/spreadsheets/d/1GfgTldLG6k77HXaMQzaafODklYuucJZQNs_GAPEfZyY/edit?usp=share_link"",""เพชรบูรณ์!n240"")+IMPORTRANGE(""https://docs.google.com/spreadsheets/d/1gvTMYAnm7v1yG1BKWFtr0DnaTsq59oW9dwWvFgq6hs0/edit?usp=share_link"",""แพร่!n240"")+IMPORTRANGE("""&amp;"https://docs.google.com/spreadsheets/d/1Wbcosgy-Xa1xXUArJSOenub6EfZHUSzc_bpJFWwQUf0/edit?usp=share_link"",""แม่ฮ่องสอน!n240"")+IMPORTRANGE(""https://docs.google.com/spreadsheets/d/1p7ERhsr0qZeSn-KSOdeHS9r0heI-lHtkcn2OH7hP0jQ/edit?usp=share_link"",""ลำปาง!"&amp;"n240"")+IMPORTRANGE(""https://docs.google.com/spreadsheets/d/1-uUXvimVhiU2U0bMN-xi2te0tS4X7DI2GLPnMjzl8cA/edit?usp=share_link"",""ลำพูน!n240"")+IMPORTRANGE(""https://docs.google.com/spreadsheets/d/17HrOaa5pBUI1onckFfumXB8xlg35qb2uBAFfF1D-Myo/edit?usp=shar"&amp;"e_link"",""สุโขทัย!n240"")+IMPORTRANGE(""https://docs.google.com/spreadsheets/d/1ubs5cl16eYL9gHbdHTJtmtYb9MGzHBs7CAphn8kNCgM/edit?usp=share_link"",""อุตรดิตถ์!n240"")+IMPORTRANGE(""https://docs.google.com/spreadsheets/d/1kII0BjS6CtVrBvI8IrytgPdxDrlyQDyigz"&amp;"MsohRtDMs/edit?usp=share_link"",""อุทัยธานี!n240"")
"),373487.27)</f>
        <v>373487.27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KxicF4apzSqm0-jIpmueT4kyZtE-Cwn5zskl7GD4loQ/edit?usp=share_link"",""กำแพงเพชร!l241"")+IMPORTRANGE(""https://docs.google.com/spreadsheets/d/1ZNYWeiFoFA1K1U4xKWqRX29MBvEyRHXORjo734Gnq_c/edit?usp=share_li"&amp;"nk"",""เชียงราย!l241"")
+IMPORTRANGE(""https://docs.google.com/spreadsheets/d/1Jgv0Y7YlHDtsiDawwp-uvifEJ8HVaSn0k2aGHG8-hwM/edit?usp=share_link"",""เชียงใหม่!l241"")+IMPORTRANGE(""https://docs.google.com/spreadsheets/d/1JWG2rZePOz9pe-f-ObA-yDr0VoOX2kSb0qIi"&amp;"x2mTUo8/edit?usp=share_link"",""ตาก!l241"")+IMPORTRANGE(""https://docs.google.com/spreadsheets/d/10nSRjK08hx8Y6HgSOQKNw81lyY46Zc7U_Cj72hBMp9U/edit?usp=share_link"",""นครสวรรค์!l241"")+IMPORTRANGE(""https://docs.google.com/spreadsheets/d/1gFVb7qd7amutrIxAA"&amp;"oM7lcy35hllxznovot8lyOfvDo/edit?usp=share_link"",""น่าน!l241"")+IMPORTRANGE(""https://docs.google.com/spreadsheets/d/1K0Aa9s-6EuHE5M0FG1F9aHLXRCOV917xvycTdLdct0w/edit?usp=share_link"",""พะเยา!l241"")+IMPORTRANGE(""https://docs.google.com/spreadsheets/d/1Y"&amp;"9LPKx95PyL5OKy09d-KbKJSuuEZCFdkhYjwC0XQjBA/edit?usp=share_link"",""พิจิตร!l241"")+IMPORTRANGE(""https://docs.google.com/spreadsheets/d/16OMuOwy2eVqZcYWOouQtTpa8X1L23h4660uVHc0C8os/edit?usp=share_link"",""พิษณุโลก!l241"")+IMPORTRANGE(""https://docs.google."&amp;"com/spreadsheets/d/1GfgTldLG6k77HXaMQzaafODklYuucJZQNs_GAPEfZyY/edit?usp=share_link"",""เพชรบูรณ์!l241"")+IMPORTRANGE(""https://docs.google.com/spreadsheets/d/1gvTMYAnm7v1yG1BKWFtr0DnaTsq59oW9dwWvFgq6hs0/edit?usp=share_link"",""แพร่!l241"")+IMPORTRANGE("""&amp;"https://docs.google.com/spreadsheets/d/1Wbcosgy-Xa1xXUArJSOenub6EfZHUSzc_bpJFWwQUf0/edit?usp=share_link"",""แม่ฮ่องสอน!l241"")+IMPORTRANGE(""https://docs.google.com/spreadsheets/d/1p7ERhsr0qZeSn-KSOdeHS9r0heI-lHtkcn2OH7hP0jQ/edit?usp=share_link"",""ลำปาง!"&amp;"l241"")+IMPORTRANGE(""https://docs.google.com/spreadsheets/d/1-uUXvimVhiU2U0bMN-xi2te0tS4X7DI2GLPnMjzl8cA/edit?usp=share_link"",""ลำพูน!l241"")+IMPORTRANGE(""https://docs.google.com/spreadsheets/d/17HrOaa5pBUI1onckFfumXB8xlg35qb2uBAFfF1D-Myo/edit?usp=shar"&amp;"e_link"",""สุโขทัย!l241"")+IMPORTRANGE(""https://docs.google.com/spreadsheets/d/1ubs5cl16eYL9gHbdHTJtmtYb9MGzHBs7CAphn8kNCgM/edit?usp=share_link"",""อุตรดิตถ์!l241"")+IMPORTRANGE(""https://docs.google.com/spreadsheets/d/1kII0BjS6CtVrBvI8IrytgPdxDrlyQDyigz"&amp;"MsohRtDMs/edit?usp=share_link"",""อุทัยธานี!l241"")
"),40000)</f>
        <v>40000</v>
      </c>
      <c r="M241" s="322"/>
      <c r="N241" s="341">
        <f ca="1">IFERROR(__xludf.DUMMYFUNCTION("IMPORTRANGE(""https://docs.google.com/spreadsheets/d/1KxicF4apzSqm0-jIpmueT4kyZtE-Cwn5zskl7GD4loQ/edit?usp=share_link"",""กำแพงเพชร!n241"")+IMPORTRANGE(""https://docs.google.com/spreadsheets/d/1ZNYWeiFoFA1K1U4xKWqRX29MBvEyRHXORjo734Gnq_c/edit?usp=share_li"&amp;"nk"",""เชียงราย!n241"")
+IMPORTRANGE(""https://docs.google.com/spreadsheets/d/1Jgv0Y7YlHDtsiDawwp-uvifEJ8HVaSn0k2aGHG8-hwM/edit?usp=share_link"",""เชียงใหม่!n241"")+IMPORTRANGE(""https://docs.google.com/spreadsheets/d/1JWG2rZePOz9pe-f-ObA-yDr0VoOX2kSb0qIi"&amp;"x2mTUo8/edit?usp=share_link"",""ตาก!n241"")+IMPORTRANGE(""https://docs.google.com/spreadsheets/d/10nSRjK08hx8Y6HgSOQKNw81lyY46Zc7U_Cj72hBMp9U/edit?usp=share_link"",""นครสวรรค์!n241"")+IMPORTRANGE(""https://docs.google.com/spreadsheets/d/1gFVb7qd7amutrIxAA"&amp;"oM7lcy35hllxznovot8lyOfvDo/edit?usp=share_link"",""น่าน!n241"")+IMPORTRANGE(""https://docs.google.com/spreadsheets/d/1K0Aa9s-6EuHE5M0FG1F9aHLXRCOV917xvycTdLdct0w/edit?usp=share_link"",""พะเยา!n241"")+IMPORTRANGE(""https://docs.google.com/spreadsheets/d/1Y"&amp;"9LPKx95PyL5OKy09d-KbKJSuuEZCFdkhYjwC0XQjBA/edit?usp=share_link"",""พิจิตร!n241"")+IMPORTRANGE(""https://docs.google.com/spreadsheets/d/16OMuOwy2eVqZcYWOouQtTpa8X1L23h4660uVHc0C8os/edit?usp=share_link"",""พิษณุโลก!n241"")+IMPORTRANGE(""https://docs.google."&amp;"com/spreadsheets/d/1GfgTldLG6k77HXaMQzaafODklYuucJZQNs_GAPEfZyY/edit?usp=share_link"",""เพชรบูรณ์!n241"")+IMPORTRANGE(""https://docs.google.com/spreadsheets/d/1gvTMYAnm7v1yG1BKWFtr0DnaTsq59oW9dwWvFgq6hs0/edit?usp=share_link"",""แพร่!n241"")+IMPORTRANGE("""&amp;"https://docs.google.com/spreadsheets/d/1Wbcosgy-Xa1xXUArJSOenub6EfZHUSzc_bpJFWwQUf0/edit?usp=share_link"",""แม่ฮ่องสอน!n241"")+IMPORTRANGE(""https://docs.google.com/spreadsheets/d/1p7ERhsr0qZeSn-KSOdeHS9r0heI-lHtkcn2OH7hP0jQ/edit?usp=share_link"",""ลำปาง!"&amp;"n241"")+IMPORTRANGE(""https://docs.google.com/spreadsheets/d/1-uUXvimVhiU2U0bMN-xi2te0tS4X7DI2GLPnMjzl8cA/edit?usp=share_link"",""ลำพูน!n241"")+IMPORTRANGE(""https://docs.google.com/spreadsheets/d/17HrOaa5pBUI1onckFfumXB8xlg35qb2uBAFfF1D-Myo/edit?usp=shar"&amp;"e_link"",""สุโขทัย!n241"")+IMPORTRANGE(""https://docs.google.com/spreadsheets/d/1ubs5cl16eYL9gHbdHTJtmtYb9MGzHBs7CAphn8kNCgM/edit?usp=share_link"",""อุตรดิตถ์!n241"")+IMPORTRANGE(""https://docs.google.com/spreadsheets/d/1kII0BjS6CtVrBvI8IrytgPdxDrlyQDyigz"&amp;"MsohRtDMs/edit?usp=share_link"",""อุทัยธานี!n241"")
"),0)</f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KxicF4apzSqm0-jIpmueT4kyZtE-Cwn5zskl7GD4loQ/edit?usp=share_link"",""กำแพงเพชร!l242"")+IMPORTRANGE(""https://docs.google.com/spreadsheets/d/1ZNYWeiFoFA1K1U4xKWqRX29MBvEyRHXORjo734Gnq_c/edit?usp=share_li"&amp;"nk"",""เชียงราย!l242"")
+IMPORTRANGE(""https://docs.google.com/spreadsheets/d/1Jgv0Y7YlHDtsiDawwp-uvifEJ8HVaSn0k2aGHG8-hwM/edit?usp=share_link"",""เชียงใหม่!l242"")+IMPORTRANGE(""https://docs.google.com/spreadsheets/d/1JWG2rZePOz9pe-f-ObA-yDr0VoOX2kSb0qIi"&amp;"x2mTUo8/edit?usp=share_link"",""ตาก!l242"")+IMPORTRANGE(""https://docs.google.com/spreadsheets/d/10nSRjK08hx8Y6HgSOQKNw81lyY46Zc7U_Cj72hBMp9U/edit?usp=share_link"",""นครสวรรค์!l242"")+IMPORTRANGE(""https://docs.google.com/spreadsheets/d/1gFVb7qd7amutrIxAA"&amp;"oM7lcy35hllxznovot8lyOfvDo/edit?usp=share_link"",""น่าน!l242"")+IMPORTRANGE(""https://docs.google.com/spreadsheets/d/1K0Aa9s-6EuHE5M0FG1F9aHLXRCOV917xvycTdLdct0w/edit?usp=share_link"",""พะเยา!l242"")+IMPORTRANGE(""https://docs.google.com/spreadsheets/d/1Y"&amp;"9LPKx95PyL5OKy09d-KbKJSuuEZCFdkhYjwC0XQjBA/edit?usp=share_link"",""พิจิตร!l242"")+IMPORTRANGE(""https://docs.google.com/spreadsheets/d/16OMuOwy2eVqZcYWOouQtTpa8X1L23h4660uVHc0C8os/edit?usp=share_link"",""พิษณุโลก!l242"")+IMPORTRANGE(""https://docs.google."&amp;"com/spreadsheets/d/1GfgTldLG6k77HXaMQzaafODklYuucJZQNs_GAPEfZyY/edit?usp=share_link"",""เพชรบูรณ์!l242"")+IMPORTRANGE(""https://docs.google.com/spreadsheets/d/1gvTMYAnm7v1yG1BKWFtr0DnaTsq59oW9dwWvFgq6hs0/edit?usp=share_link"",""แพร่!l242"")+IMPORTRANGE("""&amp;"https://docs.google.com/spreadsheets/d/1Wbcosgy-Xa1xXUArJSOenub6EfZHUSzc_bpJFWwQUf0/edit?usp=share_link"",""แม่ฮ่องสอน!l242"")+IMPORTRANGE(""https://docs.google.com/spreadsheets/d/1p7ERhsr0qZeSn-KSOdeHS9r0heI-lHtkcn2OH7hP0jQ/edit?usp=share_link"",""ลำปาง!"&amp;"l242"")+IMPORTRANGE(""https://docs.google.com/spreadsheets/d/1-uUXvimVhiU2U0bMN-xi2te0tS4X7DI2GLPnMjzl8cA/edit?usp=share_link"",""ลำพูน!l242"")+IMPORTRANGE(""https://docs.google.com/spreadsheets/d/17HrOaa5pBUI1onckFfumXB8xlg35qb2uBAFfF1D-Myo/edit?usp=shar"&amp;"e_link"",""สุโขทัย!l242"")+IMPORTRANGE(""https://docs.google.com/spreadsheets/d/1ubs5cl16eYL9gHbdHTJtmtYb9MGzHBs7CAphn8kNCgM/edit?usp=share_link"",""อุตรดิตถ์!l242"")+IMPORTRANGE(""https://docs.google.com/spreadsheets/d/1kII0BjS6CtVrBvI8IrytgPdxDrlyQDyigz"&amp;"MsohRtDMs/edit?usp=share_link"",""อุทัยธานี!l242"")
"),160000)</f>
        <v>160000</v>
      </c>
      <c r="M242" s="322"/>
      <c r="N242" s="341">
        <f ca="1">IFERROR(__xludf.DUMMYFUNCTION("IMPORTRANGE(""https://docs.google.com/spreadsheets/d/1KxicF4apzSqm0-jIpmueT4kyZtE-Cwn5zskl7GD4loQ/edit?usp=share_link"",""กำแพงเพชร!n242"")+IMPORTRANGE(""https://docs.google.com/spreadsheets/d/1ZNYWeiFoFA1K1U4xKWqRX29MBvEyRHXORjo734Gnq_c/edit?usp=share_li"&amp;"nk"",""เชียงราย!n242"")
+IMPORTRANGE(""https://docs.google.com/spreadsheets/d/1Jgv0Y7YlHDtsiDawwp-uvifEJ8HVaSn0k2aGHG8-hwM/edit?usp=share_link"",""เชียงใหม่!n242"")+IMPORTRANGE(""https://docs.google.com/spreadsheets/d/1JWG2rZePOz9pe-f-ObA-yDr0VoOX2kSb0qIi"&amp;"x2mTUo8/edit?usp=share_link"",""ตาก!n242"")+IMPORTRANGE(""https://docs.google.com/spreadsheets/d/10nSRjK08hx8Y6HgSOQKNw81lyY46Zc7U_Cj72hBMp9U/edit?usp=share_link"",""นครสวรรค์!n242"")+IMPORTRANGE(""https://docs.google.com/spreadsheets/d/1gFVb7qd7amutrIxAA"&amp;"oM7lcy35hllxznovot8lyOfvDo/edit?usp=share_link"",""น่าน!n242"")+IMPORTRANGE(""https://docs.google.com/spreadsheets/d/1K0Aa9s-6EuHE5M0FG1F9aHLXRCOV917xvycTdLdct0w/edit?usp=share_link"",""พะเยา!n242"")+IMPORTRANGE(""https://docs.google.com/spreadsheets/d/1Y"&amp;"9LPKx95PyL5OKy09d-KbKJSuuEZCFdkhYjwC0XQjBA/edit?usp=share_link"",""พิจิตร!n242"")+IMPORTRANGE(""https://docs.google.com/spreadsheets/d/16OMuOwy2eVqZcYWOouQtTpa8X1L23h4660uVHc0C8os/edit?usp=share_link"",""พิษณุโลก!n242"")+IMPORTRANGE(""https://docs.google."&amp;"com/spreadsheets/d/1GfgTldLG6k77HXaMQzaafODklYuucJZQNs_GAPEfZyY/edit?usp=share_link"",""เพชรบูรณ์!n242"")+IMPORTRANGE(""https://docs.google.com/spreadsheets/d/1gvTMYAnm7v1yG1BKWFtr0DnaTsq59oW9dwWvFgq6hs0/edit?usp=share_link"",""แพร่!n242"")+IMPORTRANGE("""&amp;"https://docs.google.com/spreadsheets/d/1Wbcosgy-Xa1xXUArJSOenub6EfZHUSzc_bpJFWwQUf0/edit?usp=share_link"",""แม่ฮ่องสอน!n242"")+IMPORTRANGE(""https://docs.google.com/spreadsheets/d/1p7ERhsr0qZeSn-KSOdeHS9r0heI-lHtkcn2OH7hP0jQ/edit?usp=share_link"",""ลำปาง!"&amp;"n242"")+IMPORTRANGE(""https://docs.google.com/spreadsheets/d/1-uUXvimVhiU2U0bMN-xi2te0tS4X7DI2GLPnMjzl8cA/edit?usp=share_link"",""ลำพูน!n242"")+IMPORTRANGE(""https://docs.google.com/spreadsheets/d/17HrOaa5pBUI1onckFfumXB8xlg35qb2uBAFfF1D-Myo/edit?usp=shar"&amp;"e_link"",""สุโขทัย!n242"")+IMPORTRANGE(""https://docs.google.com/spreadsheets/d/1ubs5cl16eYL9gHbdHTJtmtYb9MGzHBs7CAphn8kNCgM/edit?usp=share_link"",""อุตรดิตถ์!n242"")+IMPORTRANGE(""https://docs.google.com/spreadsheets/d/1kII0BjS6CtVrBvI8IrytgPdxDrlyQDyigz"&amp;"MsohRtDMs/edit?usp=share_link"",""อุทัยธานี!n242"")
"),0)</f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172" t="s">
        <v>38</v>
      </c>
      <c r="E243" s="173"/>
      <c r="F243" s="173"/>
      <c r="G243" s="174"/>
      <c r="H243" s="175"/>
      <c r="I243" s="162"/>
      <c r="J243" s="37"/>
      <c r="K243" s="38"/>
      <c r="L243" s="38"/>
      <c r="M243" s="38"/>
      <c r="N243" s="3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181" t="s">
        <v>117</v>
      </c>
      <c r="E244" s="178"/>
      <c r="F244" s="178"/>
      <c r="G244" s="179"/>
      <c r="H244" s="182" t="s">
        <v>35</v>
      </c>
      <c r="I244" s="37">
        <f ca="1">IFERROR(__xludf.DUMMYFUNCTION("IMPORTRANGE(""https://docs.google.com/spreadsheets/d/1KxicF4apzSqm0-jIpmueT4kyZtE-Cwn5zskl7GD4loQ/edit?usp=share_link"",""กำแพงเพชร!I244"")+IMPORTRANGE(""https://docs.google.com/spreadsheets/d/1ZNYWeiFoFA1K1U4xKWqRX29MBvEyRHXORjo734Gnq_c/edit?usp=share_li"&amp;"nk"",""เชียงราย!I244"")
+IMPORTRANGE(""https://docs.google.com/spreadsheets/d/1Jgv0Y7YlHDtsiDawwp-uvifEJ8HVaSn0k2aGHG8-hwM/edit?usp=share_link"",""เชียงใหม่!I244"")+IMPORTRANGE(""https://docs.google.com/spreadsheets/d/1JWG2rZePOz9pe-f-ObA-yDr0VoOX2kSb0qIi"&amp;"x2mTUo8/edit?usp=share_link"",""ตาก!I244"")+IMPORTRANGE(""https://docs.google.com/spreadsheets/d/10nSRjK08hx8Y6HgSOQKNw81lyY46Zc7U_Cj72hBMp9U/edit?usp=share_link"",""นครสวรรค์!I244"")+IMPORTRANGE(""https://docs.google.com/spreadsheets/d/1gFVb7qd7amutrIxAA"&amp;"oM7lcy35hllxznovot8lyOfvDo/edit?usp=share_link"",""น่าน!I244"")+IMPORTRANGE(""https://docs.google.com/spreadsheets/d/1K0Aa9s-6EuHE5M0FG1F9aHLXRCOV917xvycTdLdct0w/edit?usp=share_link"",""พะเยา!I244"")+IMPORTRANGE(""https://docs.google.com/spreadsheets/d/1Y"&amp;"9LPKx95PyL5OKy09d-KbKJSuuEZCFdkhYjwC0XQjBA/edit?usp=share_link"",""พิจิตร!I244"")+IMPORTRANGE(""https://docs.google.com/spreadsheets/d/16OMuOwy2eVqZcYWOouQtTpa8X1L23h4660uVHc0C8os/edit?usp=share_link"",""พิษณุโลก!I244"")+IMPORTRANGE(""https://docs.google."&amp;"com/spreadsheets/d/1GfgTldLG6k77HXaMQzaafODklYuucJZQNs_GAPEfZyY/edit?usp=share_link"",""เพชรบูรณ์!I244"")+IMPORTRANGE(""https://docs.google.com/spreadsheets/d/1gvTMYAnm7v1yG1BKWFtr0DnaTsq59oW9dwWvFgq6hs0/edit?usp=share_link"",""แพร่!I244"")+IMPORTRANGE("""&amp;"https://docs.google.com/spreadsheets/d/1Wbcosgy-Xa1xXUArJSOenub6EfZHUSzc_bpJFWwQUf0/edit?usp=share_link"",""แม่ฮ่องสอน!I244"")+IMPORTRANGE(""https://docs.google.com/spreadsheets/d/1p7ERhsr0qZeSn-KSOdeHS9r0heI-lHtkcn2OH7hP0jQ/edit?usp=share_link"",""ลำปาง!"&amp;"I244"")+IMPORTRANGE(""https://docs.google.com/spreadsheets/d/1-uUXvimVhiU2U0bMN-xi2te0tS4X7DI2GLPnMjzl8cA/edit?usp=share_link"",""ลำพูน!I244"")+IMPORTRANGE(""https://docs.google.com/spreadsheets/d/17HrOaa5pBUI1onckFfumXB8xlg35qb2uBAFfF1D-Myo/edit?usp=shar"&amp;"e_link"",""สุโขทัย!I244"")+IMPORTRANGE(""https://docs.google.com/spreadsheets/d/1ubs5cl16eYL9gHbdHTJtmtYb9MGzHBs7CAphn8kNCgM/edit?usp=share_link"",""อุตรดิตถ์!I244"")+IMPORTRANGE(""https://docs.google.com/spreadsheets/d/1kII0BjS6CtVrBvI8IrytgPdxDrlyQDyigz"&amp;"MsohRtDMs/edit?usp=share_link"",""อุทัยธานี!I244"")
"),280)</f>
        <v>280</v>
      </c>
      <c r="J244" s="183">
        <f ca="1">IFERROR(__xludf.DUMMYFUNCTION("IMPORTRANGE(""https://docs.google.com/spreadsheets/d/1KxicF4apzSqm0-jIpmueT4kyZtE-Cwn5zskl7GD4loQ/edit?usp=share_link"",""กำแพงเพชร!J244"")+IMPORTRANGE(""https://docs.google.com/spreadsheets/d/1ZNYWeiFoFA1K1U4xKWqRX29MBvEyRHXORjo734Gnq_c/edit?usp=share_li"&amp;"nk"",""เชียงราย!J244"")
+IMPORTRANGE(""https://docs.google.com/spreadsheets/d/1Jgv0Y7YlHDtsiDawwp-uvifEJ8HVaSn0k2aGHG8-hwM/edit?usp=share_link"",""เชียงใหม่!J244"")+IMPORTRANGE(""https://docs.google.com/spreadsheets/d/1JWG2rZePOz9pe-f-ObA-yDr0VoOX2kSb0qIi"&amp;"x2mTUo8/edit?usp=share_link"",""ตาก!J244"")+IMPORTRANGE(""https://docs.google.com/spreadsheets/d/10nSRjK08hx8Y6HgSOQKNw81lyY46Zc7U_Cj72hBMp9U/edit?usp=share_link"",""นครสวรรค์!J244"")+IMPORTRANGE(""https://docs.google.com/spreadsheets/d/1gFVb7qd7amutrIxAA"&amp;"oM7lcy35hllxznovot8lyOfvDo/edit?usp=share_link"",""น่าน!J244"")+IMPORTRANGE(""https://docs.google.com/spreadsheets/d/1K0Aa9s-6EuHE5M0FG1F9aHLXRCOV917xvycTdLdct0w/edit?usp=share_link"",""พะเยา!J244"")+IMPORTRANGE(""https://docs.google.com/spreadsheets/d/1Y"&amp;"9LPKx95PyL5OKy09d-KbKJSuuEZCFdkhYjwC0XQjBA/edit?usp=share_link"",""พิจิตร!J244"")+IMPORTRANGE(""https://docs.google.com/spreadsheets/d/16OMuOwy2eVqZcYWOouQtTpa8X1L23h4660uVHc0C8os/edit?usp=share_link"",""พิษณุโลก!J244"")+IMPORTRANGE(""https://docs.google."&amp;"com/spreadsheets/d/1GfgTldLG6k77HXaMQzaafODklYuucJZQNs_GAPEfZyY/edit?usp=share_link"",""เพชรบูรณ์!J244"")+IMPORTRANGE(""https://docs.google.com/spreadsheets/d/1gvTMYAnm7v1yG1BKWFtr0DnaTsq59oW9dwWvFgq6hs0/edit?usp=share_link"",""แพร่!J244"")+IMPORTRANGE("""&amp;"https://docs.google.com/spreadsheets/d/1Wbcosgy-Xa1xXUArJSOenub6EfZHUSzc_bpJFWwQUf0/edit?usp=share_link"",""แม่ฮ่องสอน!J244"")+IMPORTRANGE(""https://docs.google.com/spreadsheets/d/1p7ERhsr0qZeSn-KSOdeHS9r0heI-lHtkcn2OH7hP0jQ/edit?usp=share_link"",""ลำปาง!"&amp;"J244"")+IMPORTRANGE(""https://docs.google.com/spreadsheets/d/1-uUXvimVhiU2U0bMN-xi2te0tS4X7DI2GLPnMjzl8cA/edit?usp=share_link"",""ลำพูน!J244"")+IMPORTRANGE(""https://docs.google.com/spreadsheets/d/17HrOaa5pBUI1onckFfumXB8xlg35qb2uBAFfF1D-Myo/edit?usp=shar"&amp;"e_link"",""สุโขทัย!J244"")+IMPORTRANGE(""https://docs.google.com/spreadsheets/d/1ubs5cl16eYL9gHbdHTJtmtYb9MGzHBs7CAphn8kNCgM/edit?usp=share_link"",""อุตรดิตถ์!J244"")+IMPORTRANGE(""https://docs.google.com/spreadsheets/d/1kII0BjS6CtVrBvI8IrytgPdxDrlyQDyigz"&amp;"MsohRtDMs/edit?usp=share_link"",""อุทัยธานี!J244"")
"),230)</f>
        <v>230</v>
      </c>
      <c r="K244" s="38">
        <f ca="1">IF(I244&gt;0,J244*100/I244,0)</f>
        <v>82.142857142857139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178"/>
      <c r="G245" s="179"/>
      <c r="H245" s="182"/>
      <c r="I245" s="37"/>
      <c r="J245" s="37"/>
      <c r="K245" s="38"/>
      <c r="L245" s="38"/>
      <c r="M245" s="38"/>
      <c r="N245" s="3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178"/>
      <c r="G246" s="179"/>
      <c r="H246" s="182" t="s">
        <v>35</v>
      </c>
      <c r="I246" s="37">
        <f ca="1">IFERROR(__xludf.DUMMYFUNCTION("IMPORTRANGE(""https://docs.google.com/spreadsheets/d/1KxicF4apzSqm0-jIpmueT4kyZtE-Cwn5zskl7GD4loQ/edit?usp=share_link"",""กำแพงเพชร!I246"")+IMPORTRANGE(""https://docs.google.com/spreadsheets/d/1ZNYWeiFoFA1K1U4xKWqRX29MBvEyRHXORjo734Gnq_c/edit?usp=share_li"&amp;"nk"",""เชียงราย!I246"")
+IMPORTRANGE(""https://docs.google.com/spreadsheets/d/1Jgv0Y7YlHDtsiDawwp-uvifEJ8HVaSn0k2aGHG8-hwM/edit?usp=share_link"",""เชียงใหม่!I246"")+IMPORTRANGE(""https://docs.google.com/spreadsheets/d/1JWG2rZePOz9pe-f-ObA-yDr0VoOX2kSb0qIi"&amp;"x2mTUo8/edit?usp=share_link"",""ตาก!I246"")+IMPORTRANGE(""https://docs.google.com/spreadsheets/d/10nSRjK08hx8Y6HgSOQKNw81lyY46Zc7U_Cj72hBMp9U/edit?usp=share_link"",""นครสวรรค์!I246"")+IMPORTRANGE(""https://docs.google.com/spreadsheets/d/1gFVb7qd7amutrIxAA"&amp;"oM7lcy35hllxznovot8lyOfvDo/edit?usp=share_link"",""น่าน!I246"")+IMPORTRANGE(""https://docs.google.com/spreadsheets/d/1K0Aa9s-6EuHE5M0FG1F9aHLXRCOV917xvycTdLdct0w/edit?usp=share_link"",""พะเยา!I246"")+IMPORTRANGE(""https://docs.google.com/spreadsheets/d/1Y"&amp;"9LPKx95PyL5OKy09d-KbKJSuuEZCFdkhYjwC0XQjBA/edit?usp=share_link"",""พิจิตร!I246"")+IMPORTRANGE(""https://docs.google.com/spreadsheets/d/16OMuOwy2eVqZcYWOouQtTpa8X1L23h4660uVHc0C8os/edit?usp=share_link"",""พิษณุโลก!I246"")+IMPORTRANGE(""https://docs.google."&amp;"com/spreadsheets/d/1GfgTldLG6k77HXaMQzaafODklYuucJZQNs_GAPEfZyY/edit?usp=share_link"",""เพชรบูรณ์!I246"")+IMPORTRANGE(""https://docs.google.com/spreadsheets/d/1gvTMYAnm7v1yG1BKWFtr0DnaTsq59oW9dwWvFgq6hs0/edit?usp=share_link"",""แพร่!I246"")+IMPORTRANGE("""&amp;"https://docs.google.com/spreadsheets/d/1Wbcosgy-Xa1xXUArJSOenub6EfZHUSzc_bpJFWwQUf0/edit?usp=share_link"",""แม่ฮ่องสอน!I246"")+IMPORTRANGE(""https://docs.google.com/spreadsheets/d/1p7ERhsr0qZeSn-KSOdeHS9r0heI-lHtkcn2OH7hP0jQ/edit?usp=share_link"",""ลำปาง!"&amp;"I246"")+IMPORTRANGE(""https://docs.google.com/spreadsheets/d/1-uUXvimVhiU2U0bMN-xi2te0tS4X7DI2GLPnMjzl8cA/edit?usp=share_link"",""ลำพูน!I246"")+IMPORTRANGE(""https://docs.google.com/spreadsheets/d/17HrOaa5pBUI1onckFfumXB8xlg35qb2uBAFfF1D-Myo/edit?usp=shar"&amp;"e_link"",""สุโขทัย!I246"")+IMPORTRANGE(""https://docs.google.com/spreadsheets/d/1ubs5cl16eYL9gHbdHTJtmtYb9MGzHBs7CAphn8kNCgM/edit?usp=share_link"",""อุตรดิตถ์!I246"")+IMPORTRANGE(""https://docs.google.com/spreadsheets/d/1kII0BjS6CtVrBvI8IrytgPdxDrlyQDyigz"&amp;"MsohRtDMs/edit?usp=share_link"",""อุทัยธานี!I246"")
"),80)</f>
        <v>80</v>
      </c>
      <c r="J246" s="183">
        <f ca="1">IFERROR(__xludf.DUMMYFUNCTION("IMPORTRANGE(""https://docs.google.com/spreadsheets/d/1KxicF4apzSqm0-jIpmueT4kyZtE-Cwn5zskl7GD4loQ/edit?usp=share_link"",""กำแพงเพชร!J246"")+IMPORTRANGE(""https://docs.google.com/spreadsheets/d/1ZNYWeiFoFA1K1U4xKWqRX29MBvEyRHXORjo734Gnq_c/edit?usp=share_li"&amp;"nk"",""เชียงราย!J246"")
+IMPORTRANGE(""https://docs.google.com/spreadsheets/d/1Jgv0Y7YlHDtsiDawwp-uvifEJ8HVaSn0k2aGHG8-hwM/edit?usp=share_link"",""เชียงใหม่!J246"")+IMPORTRANGE(""https://docs.google.com/spreadsheets/d/1JWG2rZePOz9pe-f-ObA-yDr0VoOX2kSb0qIi"&amp;"x2mTUo8/edit?usp=share_link"",""ตาก!J246"")+IMPORTRANGE(""https://docs.google.com/spreadsheets/d/10nSRjK08hx8Y6HgSOQKNw81lyY46Zc7U_Cj72hBMp9U/edit?usp=share_link"",""นครสวรรค์!J246"")+IMPORTRANGE(""https://docs.google.com/spreadsheets/d/1gFVb7qd7amutrIxAA"&amp;"oM7lcy35hllxznovot8lyOfvDo/edit?usp=share_link"",""น่าน!J246"")+IMPORTRANGE(""https://docs.google.com/spreadsheets/d/1K0Aa9s-6EuHE5M0FG1F9aHLXRCOV917xvycTdLdct0w/edit?usp=share_link"",""พะเยา!J246"")+IMPORTRANGE(""https://docs.google.com/spreadsheets/d/1Y"&amp;"9LPKx95PyL5OKy09d-KbKJSuuEZCFdkhYjwC0XQjBA/edit?usp=share_link"",""พิจิตร!J246"")+IMPORTRANGE(""https://docs.google.com/spreadsheets/d/16OMuOwy2eVqZcYWOouQtTpa8X1L23h4660uVHc0C8os/edit?usp=share_link"",""พิษณุโลก!J246"")+IMPORTRANGE(""https://docs.google."&amp;"com/spreadsheets/d/1GfgTldLG6k77HXaMQzaafODklYuucJZQNs_GAPEfZyY/edit?usp=share_link"",""เพชรบูรณ์!J246"")+IMPORTRANGE(""https://docs.google.com/spreadsheets/d/1gvTMYAnm7v1yG1BKWFtr0DnaTsq59oW9dwWvFgq6hs0/edit?usp=share_link"",""แพร่!J246"")+IMPORTRANGE("""&amp;"https://docs.google.com/spreadsheets/d/1Wbcosgy-Xa1xXUArJSOenub6EfZHUSzc_bpJFWwQUf0/edit?usp=share_link"",""แม่ฮ่องสอน!J246"")+IMPORTRANGE(""https://docs.google.com/spreadsheets/d/1p7ERhsr0qZeSn-KSOdeHS9r0heI-lHtkcn2OH7hP0jQ/edit?usp=share_link"",""ลำปาง!"&amp;"J246"")+IMPORTRANGE(""https://docs.google.com/spreadsheets/d/1-uUXvimVhiU2U0bMN-xi2te0tS4X7DI2GLPnMjzl8cA/edit?usp=share_link"",""ลำพูน!J246"")+IMPORTRANGE(""https://docs.google.com/spreadsheets/d/17HrOaa5pBUI1onckFfumXB8xlg35qb2uBAFfF1D-Myo/edit?usp=shar"&amp;"e_link"",""สุโขทัย!J246"")+IMPORTRANGE(""https://docs.google.com/spreadsheets/d/1ubs5cl16eYL9gHbdHTJtmtYb9MGzHBs7CAphn8kNCgM/edit?usp=share_link"",""อุตรดิตถ์!J246"")+IMPORTRANGE(""https://docs.google.com/spreadsheets/d/1kII0BjS6CtVrBvI8IrytgPdxDrlyQDyigz"&amp;"MsohRtDMs/edit?usp=share_link"",""อุทัยธานี!J246"")
"),0)</f>
        <v>0</v>
      </c>
      <c r="K246" s="38">
        <f t="shared" ref="K246:K248" ca="1" si="135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182" t="s">
        <v>66</v>
      </c>
      <c r="I247" s="37">
        <f ca="1">IFERROR(__xludf.DUMMYFUNCTION("IMPORTRANGE(""https://docs.google.com/spreadsheets/d/1KxicF4apzSqm0-jIpmueT4kyZtE-Cwn5zskl7GD4loQ/edit?usp=share_link"",""กำแพงเพชร!I247"")+IMPORTRANGE(""https://docs.google.com/spreadsheets/d/1ZNYWeiFoFA1K1U4xKWqRX29MBvEyRHXORjo734Gnq_c/edit?usp=share_li"&amp;"nk"",""เชียงราย!I247"")
+IMPORTRANGE(""https://docs.google.com/spreadsheets/d/1Jgv0Y7YlHDtsiDawwp-uvifEJ8HVaSn0k2aGHG8-hwM/edit?usp=share_link"",""เชียงใหม่!I247"")+IMPORTRANGE(""https://docs.google.com/spreadsheets/d/1JWG2rZePOz9pe-f-ObA-yDr0VoOX2kSb0qIi"&amp;"x2mTUo8/edit?usp=share_link"",""ตาก!I247"")+IMPORTRANGE(""https://docs.google.com/spreadsheets/d/10nSRjK08hx8Y6HgSOQKNw81lyY46Zc7U_Cj72hBMp9U/edit?usp=share_link"",""นครสวรรค์!I247"")+IMPORTRANGE(""https://docs.google.com/spreadsheets/d/1gFVb7qd7amutrIxAA"&amp;"oM7lcy35hllxznovot8lyOfvDo/edit?usp=share_link"",""น่าน!I247"")+IMPORTRANGE(""https://docs.google.com/spreadsheets/d/1K0Aa9s-6EuHE5M0FG1F9aHLXRCOV917xvycTdLdct0w/edit?usp=share_link"",""พะเยา!I247"")+IMPORTRANGE(""https://docs.google.com/spreadsheets/d/1Y"&amp;"9LPKx95PyL5OKy09d-KbKJSuuEZCFdkhYjwC0XQjBA/edit?usp=share_link"",""พิจิตร!I247"")+IMPORTRANGE(""https://docs.google.com/spreadsheets/d/16OMuOwy2eVqZcYWOouQtTpa8X1L23h4660uVHc0C8os/edit?usp=share_link"",""พิษณุโลก!I247"")+IMPORTRANGE(""https://docs.google."&amp;"com/spreadsheets/d/1GfgTldLG6k77HXaMQzaafODklYuucJZQNs_GAPEfZyY/edit?usp=share_link"",""เพชรบูรณ์!I247"")+IMPORTRANGE(""https://docs.google.com/spreadsheets/d/1gvTMYAnm7v1yG1BKWFtr0DnaTsq59oW9dwWvFgq6hs0/edit?usp=share_link"",""แพร่!I247"")+IMPORTRANGE("""&amp;"https://docs.google.com/spreadsheets/d/1Wbcosgy-Xa1xXUArJSOenub6EfZHUSzc_bpJFWwQUf0/edit?usp=share_link"",""แม่ฮ่องสอน!I247"")+IMPORTRANGE(""https://docs.google.com/spreadsheets/d/1p7ERhsr0qZeSn-KSOdeHS9r0heI-lHtkcn2OH7hP0jQ/edit?usp=share_link"",""ลำปาง!"&amp;"I247"")+IMPORTRANGE(""https://docs.google.com/spreadsheets/d/1-uUXvimVhiU2U0bMN-xi2te0tS4X7DI2GLPnMjzl8cA/edit?usp=share_link"",""ลำพูน!I247"")+IMPORTRANGE(""https://docs.google.com/spreadsheets/d/17HrOaa5pBUI1onckFfumXB8xlg35qb2uBAFfF1D-Myo/edit?usp=shar"&amp;"e_link"",""สุโขทัย!I247"")+IMPORTRANGE(""https://docs.google.com/spreadsheets/d/1ubs5cl16eYL9gHbdHTJtmtYb9MGzHBs7CAphn8kNCgM/edit?usp=share_link"",""อุตรดิตถ์!I247"")+IMPORTRANGE(""https://docs.google.com/spreadsheets/d/1kII0BjS6CtVrBvI8IrytgPdxDrlyQDyigz"&amp;"MsohRtDMs/edit?usp=share_link"",""อุทัยธานี!I247"")
"),8)</f>
        <v>8</v>
      </c>
      <c r="J247" s="183">
        <f ca="1">IFERROR(__xludf.DUMMYFUNCTION("IMPORTRANGE(""https://docs.google.com/spreadsheets/d/1KxicF4apzSqm0-jIpmueT4kyZtE-Cwn5zskl7GD4loQ/edit?usp=share_link"",""กำแพงเพชร!J247"")+IMPORTRANGE(""https://docs.google.com/spreadsheets/d/1ZNYWeiFoFA1K1U4xKWqRX29MBvEyRHXORjo734Gnq_c/edit?usp=share_li"&amp;"nk"",""เชียงราย!J247"")
+IMPORTRANGE(""https://docs.google.com/spreadsheets/d/1Jgv0Y7YlHDtsiDawwp-uvifEJ8HVaSn0k2aGHG8-hwM/edit?usp=share_link"",""เชียงใหม่!J247"")+IMPORTRANGE(""https://docs.google.com/spreadsheets/d/1JWG2rZePOz9pe-f-ObA-yDr0VoOX2kSb0qIi"&amp;"x2mTUo8/edit?usp=share_link"",""ตาก!J247"")+IMPORTRANGE(""https://docs.google.com/spreadsheets/d/10nSRjK08hx8Y6HgSOQKNw81lyY46Zc7U_Cj72hBMp9U/edit?usp=share_link"",""นครสวรรค์!J247"")+IMPORTRANGE(""https://docs.google.com/spreadsheets/d/1gFVb7qd7amutrIxAA"&amp;"oM7lcy35hllxznovot8lyOfvDo/edit?usp=share_link"",""น่าน!J247"")+IMPORTRANGE(""https://docs.google.com/spreadsheets/d/1K0Aa9s-6EuHE5M0FG1F9aHLXRCOV917xvycTdLdct0w/edit?usp=share_link"",""พะเยา!J247"")+IMPORTRANGE(""https://docs.google.com/spreadsheets/d/1Y"&amp;"9LPKx95PyL5OKy09d-KbKJSuuEZCFdkhYjwC0XQjBA/edit?usp=share_link"",""พิจิตร!J247"")+IMPORTRANGE(""https://docs.google.com/spreadsheets/d/16OMuOwy2eVqZcYWOouQtTpa8X1L23h4660uVHc0C8os/edit?usp=share_link"",""พิษณุโลก!J247"")+IMPORTRANGE(""https://docs.google."&amp;"com/spreadsheets/d/1GfgTldLG6k77HXaMQzaafODklYuucJZQNs_GAPEfZyY/edit?usp=share_link"",""เพชรบูรณ์!J247"")+IMPORTRANGE(""https://docs.google.com/spreadsheets/d/1gvTMYAnm7v1yG1BKWFtr0DnaTsq59oW9dwWvFgq6hs0/edit?usp=share_link"",""แพร่!J247"")+IMPORTRANGE("""&amp;"https://docs.google.com/spreadsheets/d/1Wbcosgy-Xa1xXUArJSOenub6EfZHUSzc_bpJFWwQUf0/edit?usp=share_link"",""แม่ฮ่องสอน!J247"")+IMPORTRANGE(""https://docs.google.com/spreadsheets/d/1p7ERhsr0qZeSn-KSOdeHS9r0heI-lHtkcn2OH7hP0jQ/edit?usp=share_link"",""ลำปาง!"&amp;"J247"")+IMPORTRANGE(""https://docs.google.com/spreadsheets/d/1-uUXvimVhiU2U0bMN-xi2te0tS4X7DI2GLPnMjzl8cA/edit?usp=share_link"",""ลำพูน!J247"")+IMPORTRANGE(""https://docs.google.com/spreadsheets/d/17HrOaa5pBUI1onckFfumXB8xlg35qb2uBAFfF1D-Myo/edit?usp=shar"&amp;"e_link"",""สุโขทัย!J247"")+IMPORTRANGE(""https://docs.google.com/spreadsheets/d/1ubs5cl16eYL9gHbdHTJtmtYb9MGzHBs7CAphn8kNCgM/edit?usp=share_link"",""อุตรดิตถ์!J247"")+IMPORTRANGE(""https://docs.google.com/spreadsheets/d/1kII0BjS6CtVrBvI8IrytgPdxDrlyQDyigz"&amp;"MsohRtDMs/edit?usp=share_link"",""อุทัยธานี!J247"")
"),0)</f>
        <v>0</v>
      </c>
      <c r="K247" s="38">
        <f t="shared" ca="1" si="135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36">I255</f>
        <v>40</v>
      </c>
      <c r="J248" s="272">
        <f t="shared" ca="1" si="136"/>
        <v>40</v>
      </c>
      <c r="K248" s="273">
        <f t="shared" ca="1" si="135"/>
        <v>100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274" t="s">
        <v>17</v>
      </c>
      <c r="E249" s="148"/>
      <c r="F249" s="148"/>
      <c r="G249" s="151"/>
      <c r="H249" s="275" t="s">
        <v>12</v>
      </c>
      <c r="I249" s="279"/>
      <c r="J249" s="279"/>
      <c r="K249" s="280"/>
      <c r="L249" s="155">
        <f ca="1">L250+L251+L252+L253</f>
        <v>277600</v>
      </c>
      <c r="M249" s="155"/>
      <c r="N249" s="155">
        <f ca="1">N250+N251+N252+N253</f>
        <v>2501716.17</v>
      </c>
      <c r="O249" s="155">
        <f ca="1">IF(L249&gt;0,N249*100/L249,0)</f>
        <v>901.19458573487032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17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KxicF4apzSqm0-jIpmueT4kyZtE-Cwn5zskl7GD4loQ/edit?usp=share_link"",""กำแพงเพชร!l250"")+IMPORTRANGE(""https://docs.google.com/spreadsheets/d/1ZNYWeiFoFA1K1U4xKWqRX29MBvEyRHXORjo734Gnq_c/edit?usp=share_li"&amp;"nk"",""เชียงราย!l250"")
+IMPORTRANGE(""https://docs.google.com/spreadsheets/d/1Jgv0Y7YlHDtsiDawwp-uvifEJ8HVaSn0k2aGHG8-hwM/edit?usp=share_link"",""เชียงใหม่!l250"")+IMPORTRANGE(""https://docs.google.com/spreadsheets/d/1JWG2rZePOz9pe-f-ObA-yDr0VoOX2kSb0qIi"&amp;"x2mTUo8/edit?usp=share_link"",""ตาก!l250"")+IMPORTRANGE(""https://docs.google.com/spreadsheets/d/10nSRjK08hx8Y6HgSOQKNw81lyY46Zc7U_Cj72hBMp9U/edit?usp=share_link"",""นครสวรรค์!l250"")+IMPORTRANGE(""https://docs.google.com/spreadsheets/d/1gFVb7qd7amutrIxAA"&amp;"oM7lcy35hllxznovot8lyOfvDo/edit?usp=share_link"",""น่าน!l250"")+IMPORTRANGE(""https://docs.google.com/spreadsheets/d/1K0Aa9s-6EuHE5M0FG1F9aHLXRCOV917xvycTdLdct0w/edit?usp=share_link"",""พะเยา!l250"")+IMPORTRANGE(""https://docs.google.com/spreadsheets/d/1Y"&amp;"9LPKx95PyL5OKy09d-KbKJSuuEZCFdkhYjwC0XQjBA/edit?usp=share_link"",""พิจิตร!l250"")+IMPORTRANGE(""https://docs.google.com/spreadsheets/d/16OMuOwy2eVqZcYWOouQtTpa8X1L23h4660uVHc0C8os/edit?usp=share_link"",""พิษณุโลก!l250"")+IMPORTRANGE(""https://docs.google."&amp;"com/spreadsheets/d/1GfgTldLG6k77HXaMQzaafODklYuucJZQNs_GAPEfZyY/edit?usp=share_link"",""เพชรบูรณ์!l250"")+IMPORTRANGE(""https://docs.google.com/spreadsheets/d/1gvTMYAnm7v1yG1BKWFtr0DnaTsq59oW9dwWvFgq6hs0/edit?usp=share_link"",""แพร่!l250"")+IMPORTRANGE("""&amp;"https://docs.google.com/spreadsheets/d/1Wbcosgy-Xa1xXUArJSOenub6EfZHUSzc_bpJFWwQUf0/edit?usp=share_link"",""แม่ฮ่องสอน!l250"")+IMPORTRANGE(""https://docs.google.com/spreadsheets/d/1p7ERhsr0qZeSn-KSOdeHS9r0heI-lHtkcn2OH7hP0jQ/edit?usp=share_link"",""ลำปาง!"&amp;"l250"")+IMPORTRANGE(""https://docs.google.com/spreadsheets/d/1-uUXvimVhiU2U0bMN-xi2te0tS4X7DI2GLPnMjzl8cA/edit?usp=share_link"",""ลำพูน!l250"")+IMPORTRANGE(""https://docs.google.com/spreadsheets/d/17HrOaa5pBUI1onckFfumXB8xlg35qb2uBAFfF1D-Myo/edit?usp=shar"&amp;"e_link"",""สุโขทัย!l250"")+IMPORTRANGE(""https://docs.google.com/spreadsheets/d/1ubs5cl16eYL9gHbdHTJtmtYb9MGzHBs7CAphn8kNCgM/edit?usp=share_link"",""อุตรดิตถ์!l250"")+IMPORTRANGE(""https://docs.google.com/spreadsheets/d/1kII0BjS6CtVrBvI8IrytgPdxDrlyQDyigz"&amp;"MsohRtDMs/edit?usp=share_link"",""อุทัยธานี!l250"")
"),165000)</f>
        <v>165000</v>
      </c>
      <c r="M250" s="322"/>
      <c r="N250" s="341">
        <f ca="1">IFERROR(__xludf.DUMMYFUNCTION("IMPORTRANGE(""https://docs.google.com/spreadsheets/d/1KxicF4apzSqm0-jIpmueT4kyZtE-Cwn5zskl7GD4loQ/edit?usp=share_link"",""กำแพงเพชร!n250"")+IMPORTRANGE(""https://docs.google.com/spreadsheets/d/1ZNYWeiFoFA1K1U4xKWqRX29MBvEyRHXORjo734Gnq_c/edit?usp=share_li"&amp;"nk"",""เชียงราย!n250"")
+IMPORTRANGE(""https://docs.google.com/spreadsheets/d/1Jgv0Y7YlHDtsiDawwp-uvifEJ8HVaSn0k2aGHG8-hwM/edit?usp=share_link"",""เชียงใหม่!n250"")+IMPORTRANGE(""https://docs.google.com/spreadsheets/d/1JWG2rZePOz9pe-f-ObA-yDr0VoOX2kSb0qIi"&amp;"x2mTUo8/edit?usp=share_link"",""ตาก!n250"")+IMPORTRANGE(""https://docs.google.com/spreadsheets/d/10nSRjK08hx8Y6HgSOQKNw81lyY46Zc7U_Cj72hBMp9U/edit?usp=share_link"",""นครสวรรค์!n250"")+IMPORTRANGE(""https://docs.google.com/spreadsheets/d/1gFVb7qd7amutrIxAA"&amp;"oM7lcy35hllxznovot8lyOfvDo/edit?usp=share_link"",""น่าน!n250"")+IMPORTRANGE(""https://docs.google.com/spreadsheets/d/1K0Aa9s-6EuHE5M0FG1F9aHLXRCOV917xvycTdLdct0w/edit?usp=share_link"",""พะเยา!n250"")+IMPORTRANGE(""https://docs.google.com/spreadsheets/d/1Y"&amp;"9LPKx95PyL5OKy09d-KbKJSuuEZCFdkhYjwC0XQjBA/edit?usp=share_link"",""พิจิตร!n250"")+IMPORTRANGE(""https://docs.google.com/spreadsheets/d/16OMuOwy2eVqZcYWOouQtTpa8X1L23h4660uVHc0C8os/edit?usp=share_link"",""พิษณุโลก!n250"")+IMPORTRANGE(""https://docs.google."&amp;"com/spreadsheets/d/1GfgTldLG6k77HXaMQzaafODklYuucJZQNs_GAPEfZyY/edit?usp=share_link"",""เพชรบูรณ์!n250"")+IMPORTRANGE(""https://docs.google.com/spreadsheets/d/1gvTMYAnm7v1yG1BKWFtr0DnaTsq59oW9dwWvFgq6hs0/edit?usp=share_link"",""แพร่!n250"")+IMPORTRANGE("""&amp;"https://docs.google.com/spreadsheets/d/1Wbcosgy-Xa1xXUArJSOenub6EfZHUSzc_bpJFWwQUf0/edit?usp=share_link"",""แม่ฮ่องสอน!n250"")+IMPORTRANGE(""https://docs.google.com/spreadsheets/d/1p7ERhsr0qZeSn-KSOdeHS9r0heI-lHtkcn2OH7hP0jQ/edit?usp=share_link"",""ลำปาง!"&amp;"n250"")+IMPORTRANGE(""https://docs.google.com/spreadsheets/d/1-uUXvimVhiU2U0bMN-xi2te0tS4X7DI2GLPnMjzl8cA/edit?usp=share_link"",""ลำพูน!n250"")+IMPORTRANGE(""https://docs.google.com/spreadsheets/d/17HrOaa5pBUI1onckFfumXB8xlg35qb2uBAFfF1D-Myo/edit?usp=shar"&amp;"e_link"",""สุโขทัย!n250"")+IMPORTRANGE(""https://docs.google.com/spreadsheets/d/1ubs5cl16eYL9gHbdHTJtmtYb9MGzHBs7CAphn8kNCgM/edit?usp=share_link"",""อุตรดิตถ์!n250"")+IMPORTRANGE(""https://docs.google.com/spreadsheets/d/1kII0BjS6CtVrBvI8IrytgPdxDrlyQDyigz"&amp;"MsohRtDMs/edit?usp=share_link"",""อุทัยธานี!n250"")
"),62540)</f>
        <v>62540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KxicF4apzSqm0-jIpmueT4kyZtE-Cwn5zskl7GD4loQ/edit?usp=share_link"",""กำแพงเพชร!l251"")+IMPORTRANGE(""https://docs.google.com/spreadsheets/d/1ZNYWeiFoFA1K1U4xKWqRX29MBvEyRHXORjo734Gnq_c/edit?usp=share_li"&amp;"nk"",""เชียงราย!l251"")
+IMPORTRANGE(""https://docs.google.com/spreadsheets/d/1Jgv0Y7YlHDtsiDawwp-uvifEJ8HVaSn0k2aGHG8-hwM/edit?usp=share_link"",""เชียงใหม่!l251"")+IMPORTRANGE(""https://docs.google.com/spreadsheets/d/1JWG2rZePOz9pe-f-ObA-yDr0VoOX2kSb0qIi"&amp;"x2mTUo8/edit?usp=share_link"",""ตาก!l251"")+IMPORTRANGE(""https://docs.google.com/spreadsheets/d/10nSRjK08hx8Y6HgSOQKNw81lyY46Zc7U_Cj72hBMp9U/edit?usp=share_link"",""นครสวรรค์!l251"")+IMPORTRANGE(""https://docs.google.com/spreadsheets/d/1gFVb7qd7amutrIxAA"&amp;"oM7lcy35hllxznovot8lyOfvDo/edit?usp=share_link"",""น่าน!l251"")+IMPORTRANGE(""https://docs.google.com/spreadsheets/d/1K0Aa9s-6EuHE5M0FG1F9aHLXRCOV917xvycTdLdct0w/edit?usp=share_link"",""พะเยา!l251"")+IMPORTRANGE(""https://docs.google.com/spreadsheets/d/1Y"&amp;"9LPKx95PyL5OKy09d-KbKJSuuEZCFdkhYjwC0XQjBA/edit?usp=share_link"",""พิจิตร!l251"")+IMPORTRANGE(""https://docs.google.com/spreadsheets/d/16OMuOwy2eVqZcYWOouQtTpa8X1L23h4660uVHc0C8os/edit?usp=share_link"",""พิษณุโลก!l251"")+IMPORTRANGE(""https://docs.google."&amp;"com/spreadsheets/d/1GfgTldLG6k77HXaMQzaafODklYuucJZQNs_GAPEfZyY/edit?usp=share_link"",""เพชรบูรณ์!l251"")+IMPORTRANGE(""https://docs.google.com/spreadsheets/d/1gvTMYAnm7v1yG1BKWFtr0DnaTsq59oW9dwWvFgq6hs0/edit?usp=share_link"",""แพร่!l251"")+IMPORTRANGE("""&amp;"https://docs.google.com/spreadsheets/d/1Wbcosgy-Xa1xXUArJSOenub6EfZHUSzc_bpJFWwQUf0/edit?usp=share_link"",""แม่ฮ่องสอน!l251"")+IMPORTRANGE(""https://docs.google.com/spreadsheets/d/1p7ERhsr0qZeSn-KSOdeHS9r0heI-lHtkcn2OH7hP0jQ/edit?usp=share_link"",""ลำปาง!"&amp;"l251"")+IMPORTRANGE(""https://docs.google.com/spreadsheets/d/1-uUXvimVhiU2U0bMN-xi2te0tS4X7DI2GLPnMjzl8cA/edit?usp=share_link"",""ลำพูน!l251"")+IMPORTRANGE(""https://docs.google.com/spreadsheets/d/17HrOaa5pBUI1onckFfumXB8xlg35qb2uBAFfF1D-Myo/edit?usp=shar"&amp;"e_link"",""สุโขทัย!l251"")+IMPORTRANGE(""https://docs.google.com/spreadsheets/d/1ubs5cl16eYL9gHbdHTJtmtYb9MGzHBs7CAphn8kNCgM/edit?usp=share_link"",""อุตรดิตถ์!l251"")+IMPORTRANGE(""https://docs.google.com/spreadsheets/d/1kII0BjS6CtVrBvI8IrytgPdxDrlyQDyigz"&amp;"MsohRtDMs/edit?usp=share_link"",""อุทัยธานี!l251"")
"),57600)</f>
        <v>57600</v>
      </c>
      <c r="M251" s="322"/>
      <c r="N251" s="341">
        <f ca="1">IFERROR(__xludf.DUMMYFUNCTION("IMPORTRANGE(""https://docs.google.com/spreadsheets/d/1KxicF4apzSqm0-jIpmueT4kyZtE-Cwn5zskl7GD4loQ/edit?usp=share_link"",""กำแพงเพชร!n251"")+IMPORTRANGE(""https://docs.google.com/spreadsheets/d/1ZNYWeiFoFA1K1U4xKWqRX29MBvEyRHXORjo734Gnq_c/edit?usp=share_li"&amp;"nk"",""เชียงราย!n251"")
+IMPORTRANGE(""https://docs.google.com/spreadsheets/d/1Jgv0Y7YlHDtsiDawwp-uvifEJ8HVaSn0k2aGHG8-hwM/edit?usp=share_link"",""เชียงใหม่!n251"")+IMPORTRANGE(""https://docs.google.com/spreadsheets/d/1JWG2rZePOz9pe-f-ObA-yDr0VoOX2kSb0qIi"&amp;"x2mTUo8/edit?usp=share_link"",""ตาก!n251"")+IMPORTRANGE(""https://docs.google.com/spreadsheets/d/10nSRjK08hx8Y6HgSOQKNw81lyY46Zc7U_Cj72hBMp9U/edit?usp=share_link"",""นครสวรรค์!n251"")+IMPORTRANGE(""https://docs.google.com/spreadsheets/d/1gFVb7qd7amutrIxAA"&amp;"oM7lcy35hllxznovot8lyOfvDo/edit?usp=share_link"",""น่าน!n251"")+IMPORTRANGE(""https://docs.google.com/spreadsheets/d/1K0Aa9s-6EuHE5M0FG1F9aHLXRCOV917xvycTdLdct0w/edit?usp=share_link"",""พะเยา!n251"")+IMPORTRANGE(""https://docs.google.com/spreadsheets/d/1Y"&amp;"9LPKx95PyL5OKy09d-KbKJSuuEZCFdkhYjwC0XQjBA/edit?usp=share_link"",""พิจิตร!n251"")+IMPORTRANGE(""https://docs.google.com/spreadsheets/d/16OMuOwy2eVqZcYWOouQtTpa8X1L23h4660uVHc0C8os/edit?usp=share_link"",""พิษณุโลก!n251"")+IMPORTRANGE(""https://docs.google."&amp;"com/spreadsheets/d/1GfgTldLG6k77HXaMQzaafODklYuucJZQNs_GAPEfZyY/edit?usp=share_link"",""เพชรบูรณ์!n251"")+IMPORTRANGE(""https://docs.google.com/spreadsheets/d/1gvTMYAnm7v1yG1BKWFtr0DnaTsq59oW9dwWvFgq6hs0/edit?usp=share_link"",""แพร่!n251"")+IMPORTRANGE("""&amp;"https://docs.google.com/spreadsheets/d/1Wbcosgy-Xa1xXUArJSOenub6EfZHUSzc_bpJFWwQUf0/edit?usp=share_link"",""แม่ฮ่องสอน!n251"")+IMPORTRANGE(""https://docs.google.com/spreadsheets/d/1p7ERhsr0qZeSn-KSOdeHS9r0heI-lHtkcn2OH7hP0jQ/edit?usp=share_link"",""ลำปาง!"&amp;"n251"")+IMPORTRANGE(""https://docs.google.com/spreadsheets/d/1-uUXvimVhiU2U0bMN-xi2te0tS4X7DI2GLPnMjzl8cA/edit?usp=share_link"",""ลำพูน!n251"")+IMPORTRANGE(""https://docs.google.com/spreadsheets/d/17HrOaa5pBUI1onckFfumXB8xlg35qb2uBAFfF1D-Myo/edit?usp=shar"&amp;"e_link"",""สุโขทัย!n251"")+IMPORTRANGE(""https://docs.google.com/spreadsheets/d/1ubs5cl16eYL9gHbdHTJtmtYb9MGzHBs7CAphn8kNCgM/edit?usp=share_link"",""อุตรดิตถ์!n251"")+IMPORTRANGE(""https://docs.google.com/spreadsheets/d/1kII0BjS6CtVrBvI8IrytgPdxDrlyQDyigz"&amp;"MsohRtDMs/edit?usp=share_link"",""อุทัยธานี!n251"")
"),34370)</f>
        <v>34370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KxicF4apzSqm0-jIpmueT4kyZtE-Cwn5zskl7GD4loQ/edit?usp=share_link"",""กำแพงเพชร!l252"")+IMPORTRANGE(""https://docs.google.com/spreadsheets/d/1ZNYWeiFoFA1K1U4xKWqRX29MBvEyRHXORjo734Gnq_c/edit?usp=share_li"&amp;"nk"",""เชียงราย!l252"")
+IMPORTRANGE(""https://docs.google.com/spreadsheets/d/1Jgv0Y7YlHDtsiDawwp-uvifEJ8HVaSn0k2aGHG8-hwM/edit?usp=share_link"",""เชียงใหม่!l252"")+IMPORTRANGE(""https://docs.google.com/spreadsheets/d/1JWG2rZePOz9pe-f-ObA-yDr0VoOX2kSb0qIi"&amp;"x2mTUo8/edit?usp=share_link"",""ตาก!l252"")+IMPORTRANGE(""https://docs.google.com/spreadsheets/d/10nSRjK08hx8Y6HgSOQKNw81lyY46Zc7U_Cj72hBMp9U/edit?usp=share_link"",""นครสวรรค์!l252"")+IMPORTRANGE(""https://docs.google.com/spreadsheets/d/1gFVb7qd7amutrIxAA"&amp;"oM7lcy35hllxznovot8lyOfvDo/edit?usp=share_link"",""น่าน!l252"")+IMPORTRANGE(""https://docs.google.com/spreadsheets/d/1K0Aa9s-6EuHE5M0FG1F9aHLXRCOV917xvycTdLdct0w/edit?usp=share_link"",""พะเยา!l252"")+IMPORTRANGE(""https://docs.google.com/spreadsheets/d/1Y"&amp;"9LPKx95PyL5OKy09d-KbKJSuuEZCFdkhYjwC0XQjBA/edit?usp=share_link"",""พิจิตร!l252"")+IMPORTRANGE(""https://docs.google.com/spreadsheets/d/16OMuOwy2eVqZcYWOouQtTpa8X1L23h4660uVHc0C8os/edit?usp=share_link"",""พิษณุโลก!l252"")+IMPORTRANGE(""https://docs.google."&amp;"com/spreadsheets/d/1GfgTldLG6k77HXaMQzaafODklYuucJZQNs_GAPEfZyY/edit?usp=share_link"",""เพชรบูรณ์!l252"")+IMPORTRANGE(""https://docs.google.com/spreadsheets/d/1gvTMYAnm7v1yG1BKWFtr0DnaTsq59oW9dwWvFgq6hs0/edit?usp=share_link"",""แพร่!l252"")+IMPORTRANGE("""&amp;"https://docs.google.com/spreadsheets/d/1Wbcosgy-Xa1xXUArJSOenub6EfZHUSzc_bpJFWwQUf0/edit?usp=share_link"",""แม่ฮ่องสอน!l252"")+IMPORTRANGE(""https://docs.google.com/spreadsheets/d/1p7ERhsr0qZeSn-KSOdeHS9r0heI-lHtkcn2OH7hP0jQ/edit?usp=share_link"",""ลำปาง!"&amp;"l252"")+IMPORTRANGE(""https://docs.google.com/spreadsheets/d/1-uUXvimVhiU2U0bMN-xi2te0tS4X7DI2GLPnMjzl8cA/edit?usp=share_link"",""ลำพูน!l252"")+IMPORTRANGE(""https://docs.google.com/spreadsheets/d/17HrOaa5pBUI1onckFfumXB8xlg35qb2uBAFfF1D-Myo/edit?usp=shar"&amp;"e_link"",""สุโขทัย!l252"")+IMPORTRANGE(""https://docs.google.com/spreadsheets/d/1ubs5cl16eYL9gHbdHTJtmtYb9MGzHBs7CAphn8kNCgM/edit?usp=share_link"",""อุตรดิตถ์!l252"")+IMPORTRANGE(""https://docs.google.com/spreadsheets/d/1kII0BjS6CtVrBvI8IrytgPdxDrlyQDyigz"&amp;"MsohRtDMs/edit?usp=share_link"",""อุทัยธานี!l252"")
"),45000)</f>
        <v>45000</v>
      </c>
      <c r="M252" s="322"/>
      <c r="N252" s="341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"),2404806.17)</f>
        <v>2404806.17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KxicF4apzSqm0-jIpmueT4kyZtE-Cwn5zskl7GD4loQ/edit?usp=share_link"",""กำแพงเพชร!l253"")+IMPORTRANGE(""https://docs.google.com/spreadsheets/d/1ZNYWeiFoFA1K1U4xKWqRX29MBvEyRHXORjo734Gnq_c/edit?usp=share_li"&amp;"nk"",""เชียงราย!l253"")
+IMPORTRANGE(""https://docs.google.com/spreadsheets/d/1Jgv0Y7YlHDtsiDawwp-uvifEJ8HVaSn0k2aGHG8-hwM/edit?usp=share_link"",""เชียงใหม่!l253"")+IMPORTRANGE(""https://docs.google.com/spreadsheets/d/1JWG2rZePOz9pe-f-ObA-yDr0VoOX2kSb0qIi"&amp;"x2mTUo8/edit?usp=share_link"",""ตาก!l253"")+IMPORTRANGE(""https://docs.google.com/spreadsheets/d/10nSRjK08hx8Y6HgSOQKNw81lyY46Zc7U_Cj72hBMp9U/edit?usp=share_link"",""นครสวรรค์!l253"")+IMPORTRANGE(""https://docs.google.com/spreadsheets/d/1gFVb7qd7amutrIxAA"&amp;"oM7lcy35hllxznovot8lyOfvDo/edit?usp=share_link"",""น่าน!l253"")+IMPORTRANGE(""https://docs.google.com/spreadsheets/d/1K0Aa9s-6EuHE5M0FG1F9aHLXRCOV917xvycTdLdct0w/edit?usp=share_link"",""พะเยา!l253"")+IMPORTRANGE(""https://docs.google.com/spreadsheets/d/1Y"&amp;"9LPKx95PyL5OKy09d-KbKJSuuEZCFdkhYjwC0XQjBA/edit?usp=share_link"",""พิจิตร!l253"")+IMPORTRANGE(""https://docs.google.com/spreadsheets/d/16OMuOwy2eVqZcYWOouQtTpa8X1L23h4660uVHc0C8os/edit?usp=share_link"",""พิษณุโลก!l253"")+IMPORTRANGE(""https://docs.google."&amp;"com/spreadsheets/d/1GfgTldLG6k77HXaMQzaafODklYuucJZQNs_GAPEfZyY/edit?usp=share_link"",""เพชรบูรณ์!l253"")+IMPORTRANGE(""https://docs.google.com/spreadsheets/d/1gvTMYAnm7v1yG1BKWFtr0DnaTsq59oW9dwWvFgq6hs0/edit?usp=share_link"",""แพร่!l253"")+IMPORTRANGE("""&amp;"https://docs.google.com/spreadsheets/d/1Wbcosgy-Xa1xXUArJSOenub6EfZHUSzc_bpJFWwQUf0/edit?usp=share_link"",""แม่ฮ่องสอน!l253"")+IMPORTRANGE(""https://docs.google.com/spreadsheets/d/1p7ERhsr0qZeSn-KSOdeHS9r0heI-lHtkcn2OH7hP0jQ/edit?usp=share_link"",""ลำปาง!"&amp;"l253"")+IMPORTRANGE(""https://docs.google.com/spreadsheets/d/1-uUXvimVhiU2U0bMN-xi2te0tS4X7DI2GLPnMjzl8cA/edit?usp=share_link"",""ลำพูน!l253"")+IMPORTRANGE(""https://docs.google.com/spreadsheets/d/17HrOaa5pBUI1onckFfumXB8xlg35qb2uBAFfF1D-Myo/edit?usp=shar"&amp;"e_link"",""สุโขทัย!l253"")+IMPORTRANGE(""https://docs.google.com/spreadsheets/d/1ubs5cl16eYL9gHbdHTJtmtYb9MGzHBs7CAphn8kNCgM/edit?usp=share_link"",""อุตรดิตถ์!l253"")+IMPORTRANGE(""https://docs.google.com/spreadsheets/d/1kII0BjS6CtVrBvI8IrytgPdxDrlyQDyigz"&amp;"MsohRtDMs/edit?usp=share_link"",""อุทัยธานี!l253"")
"),10000)</f>
        <v>10000</v>
      </c>
      <c r="M253" s="322"/>
      <c r="N253" s="341">
        <f ca="1">IFERROR(__xludf.DUMMYFUNCTION("IMPORTRANGE(""https://docs.google.com/spreadsheets/d/1KxicF4apzSqm0-jIpmueT4kyZtE-Cwn5zskl7GD4loQ/edit?usp=share_link"",""กำแพงเพชร!n253"")+IMPORTRANGE(""https://docs.google.com/spreadsheets/d/1ZNYWeiFoFA1K1U4xKWqRX29MBvEyRHXORjo734Gnq_c/edit?usp=share_li"&amp;"nk"",""เชียงราย!n253"")
+IMPORTRANGE(""https://docs.google.com/spreadsheets/d/1Jgv0Y7YlHDtsiDawwp-uvifEJ8HVaSn0k2aGHG8-hwM/edit?usp=share_link"",""เชียงใหม่!n253"")+IMPORTRANGE(""https://docs.google.com/spreadsheets/d/1JWG2rZePOz9pe-f-ObA-yDr0VoOX2kSb0qIi"&amp;"x2mTUo8/edit?usp=share_link"",""ตาก!n253"")+IMPORTRANGE(""https://docs.google.com/spreadsheets/d/10nSRjK08hx8Y6HgSOQKNw81lyY46Zc7U_Cj72hBMp9U/edit?usp=share_link"",""นครสวรรค์!n253"")+IMPORTRANGE(""https://docs.google.com/spreadsheets/d/1gFVb7qd7amutrIxAA"&amp;"oM7lcy35hllxznovot8lyOfvDo/edit?usp=share_link"",""น่าน!n253"")+IMPORTRANGE(""https://docs.google.com/spreadsheets/d/1K0Aa9s-6EuHE5M0FG1F9aHLXRCOV917xvycTdLdct0w/edit?usp=share_link"",""พะเยา!n253"")+IMPORTRANGE(""https://docs.google.com/spreadsheets/d/1Y"&amp;"9LPKx95PyL5OKy09d-KbKJSuuEZCFdkhYjwC0XQjBA/edit?usp=share_link"",""พิจิตร!n253"")+IMPORTRANGE(""https://docs.google.com/spreadsheets/d/16OMuOwy2eVqZcYWOouQtTpa8X1L23h4660uVHc0C8os/edit?usp=share_link"",""พิษณุโลก!n253"")+IMPORTRANGE(""https://docs.google."&amp;"com/spreadsheets/d/1GfgTldLG6k77HXaMQzaafODklYuucJZQNs_GAPEfZyY/edit?usp=share_link"",""เพชรบูรณ์!n253"")+IMPORTRANGE(""https://docs.google.com/spreadsheets/d/1gvTMYAnm7v1yG1BKWFtr0DnaTsq59oW9dwWvFgq6hs0/edit?usp=share_link"",""แพร่!n253"")+IMPORTRANGE("""&amp;"https://docs.google.com/spreadsheets/d/1Wbcosgy-Xa1xXUArJSOenub6EfZHUSzc_bpJFWwQUf0/edit?usp=share_link"",""แม่ฮ่องสอน!n253"")+IMPORTRANGE(""https://docs.google.com/spreadsheets/d/1p7ERhsr0qZeSn-KSOdeHS9r0heI-lHtkcn2OH7hP0jQ/edit?usp=share_link"",""ลำปาง!"&amp;"n253"")+IMPORTRANGE(""https://docs.google.com/spreadsheets/d/1-uUXvimVhiU2U0bMN-xi2te0tS4X7DI2GLPnMjzl8cA/edit?usp=share_link"",""ลำพูน!n253"")+IMPORTRANGE(""https://docs.google.com/spreadsheets/d/17HrOaa5pBUI1onckFfumXB8xlg35qb2uBAFfF1D-Myo/edit?usp=shar"&amp;"e_link"",""สุโขทัย!n253"")+IMPORTRANGE(""https://docs.google.com/spreadsheets/d/1ubs5cl16eYL9gHbdHTJtmtYb9MGzHBs7CAphn8kNCgM/edit?usp=share_link"",""อุตรดิตถ์!n253"")+IMPORTRANGE(""https://docs.google.com/spreadsheets/d/1kII0BjS6CtVrBvI8IrytgPdxDrlyQDyigz"&amp;"MsohRtDMs/edit?usp=share_link"",""อุทัยธานี!n253"")
"),0)</f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172" t="s">
        <v>38</v>
      </c>
      <c r="E254" s="173"/>
      <c r="F254" s="173"/>
      <c r="G254" s="174"/>
      <c r="H254" s="175"/>
      <c r="I254" s="162"/>
      <c r="J254" s="37"/>
      <c r="K254" s="38"/>
      <c r="L254" s="38"/>
      <c r="M254" s="38"/>
      <c r="N254" s="3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181" t="s">
        <v>117</v>
      </c>
      <c r="E255" s="178"/>
      <c r="F255" s="178"/>
      <c r="G255" s="179"/>
      <c r="H255" s="182" t="s">
        <v>35</v>
      </c>
      <c r="I255" s="37">
        <f ca="1">IFERROR(__xludf.DUMMYFUNCTION("IMPORTRANGE(""https://docs.google.com/spreadsheets/d/1KxicF4apzSqm0-jIpmueT4kyZtE-Cwn5zskl7GD4loQ/edit?usp=share_link"",""กำแพงเพชร!I255"")+IMPORTRANGE(""https://docs.google.com/spreadsheets/d/1ZNYWeiFoFA1K1U4xKWqRX29MBvEyRHXORjo734Gnq_c/edit?usp=share_li"&amp;"nk"",""เชียงราย!I255"")
+IMPORTRANGE(""https://docs.google.com/spreadsheets/d/1Jgv0Y7YlHDtsiDawwp-uvifEJ8HVaSn0k2aGHG8-hwM/edit?usp=share_link"",""เชียงใหม่!I255"")+IMPORTRANGE(""https://docs.google.com/spreadsheets/d/1JWG2rZePOz9pe-f-ObA-yDr0VoOX2kSb0qIi"&amp;"x2mTUo8/edit?usp=share_link"",""ตาก!I255"")+IMPORTRANGE(""https://docs.google.com/spreadsheets/d/10nSRjK08hx8Y6HgSOQKNw81lyY46Zc7U_Cj72hBMp9U/edit?usp=share_link"",""นครสวรรค์!I255"")+IMPORTRANGE(""https://docs.google.com/spreadsheets/d/1gFVb7qd7amutrIxAA"&amp;"oM7lcy35hllxznovot8lyOfvDo/edit?usp=share_link"",""น่าน!I255"")+IMPORTRANGE(""https://docs.google.com/spreadsheets/d/1K0Aa9s-6EuHE5M0FG1F9aHLXRCOV917xvycTdLdct0w/edit?usp=share_link"",""พะเยา!I255"")+IMPORTRANGE(""https://docs.google.com/spreadsheets/d/1Y"&amp;"9LPKx95PyL5OKy09d-KbKJSuuEZCFdkhYjwC0XQjBA/edit?usp=share_link"",""พิจิตร!I255"")+IMPORTRANGE(""https://docs.google.com/spreadsheets/d/16OMuOwy2eVqZcYWOouQtTpa8X1L23h4660uVHc0C8os/edit?usp=share_link"",""พิษณุโลก!I255"")+IMPORTRANGE(""https://docs.google."&amp;"com/spreadsheets/d/1GfgTldLG6k77HXaMQzaafODklYuucJZQNs_GAPEfZyY/edit?usp=share_link"",""เพชรบูรณ์!I255"")+IMPORTRANGE(""https://docs.google.com/spreadsheets/d/1gvTMYAnm7v1yG1BKWFtr0DnaTsq59oW9dwWvFgq6hs0/edit?usp=share_link"",""แพร่!I255"")+IMPORTRANGE("""&amp;"https://docs.google.com/spreadsheets/d/1Wbcosgy-Xa1xXUArJSOenub6EfZHUSzc_bpJFWwQUf0/edit?usp=share_link"",""แม่ฮ่องสอน!I255"")+IMPORTRANGE(""https://docs.google.com/spreadsheets/d/1p7ERhsr0qZeSn-KSOdeHS9r0heI-lHtkcn2OH7hP0jQ/edit?usp=share_link"",""ลำปาง!"&amp;"I255"")+IMPORTRANGE(""https://docs.google.com/spreadsheets/d/1-uUXvimVhiU2U0bMN-xi2te0tS4X7DI2GLPnMjzl8cA/edit?usp=share_link"",""ลำพูน!I255"")+IMPORTRANGE(""https://docs.google.com/spreadsheets/d/17HrOaa5pBUI1onckFfumXB8xlg35qb2uBAFfF1D-Myo/edit?usp=shar"&amp;"e_link"",""สุโขทัย!I255"")+IMPORTRANGE(""https://docs.google.com/spreadsheets/d/1ubs5cl16eYL9gHbdHTJtmtYb9MGzHBs7CAphn8kNCgM/edit?usp=share_link"",""อุตรดิตถ์!I255"")+IMPORTRANGE(""https://docs.google.com/spreadsheets/d/1kII0BjS6CtVrBvI8IrytgPdxDrlyQDyigz"&amp;"MsohRtDMs/edit?usp=share_link"",""อุทัยธานี!I255"")
"),40)</f>
        <v>40</v>
      </c>
      <c r="J255" s="183">
        <f ca="1">IFERROR(__xludf.DUMMYFUNCTION("IMPORTRANGE(""https://docs.google.com/spreadsheets/d/1KxicF4apzSqm0-jIpmueT4kyZtE-Cwn5zskl7GD4loQ/edit?usp=share_link"",""กำแพงเพชร!J255"")+IMPORTRANGE(""https://docs.google.com/spreadsheets/d/1ZNYWeiFoFA1K1U4xKWqRX29MBvEyRHXORjo734Gnq_c/edit?usp=share_li"&amp;"nk"",""เชียงราย!J255"")
+IMPORTRANGE(""https://docs.google.com/spreadsheets/d/1Jgv0Y7YlHDtsiDawwp-uvifEJ8HVaSn0k2aGHG8-hwM/edit?usp=share_link"",""เชียงใหม่!J255"")+IMPORTRANGE(""https://docs.google.com/spreadsheets/d/1JWG2rZePOz9pe-f-ObA-yDr0VoOX2kSb0qIi"&amp;"x2mTUo8/edit?usp=share_link"",""ตาก!J255"")+IMPORTRANGE(""https://docs.google.com/spreadsheets/d/10nSRjK08hx8Y6HgSOQKNw81lyY46Zc7U_Cj72hBMp9U/edit?usp=share_link"",""นครสวรรค์!J255"")+IMPORTRANGE(""https://docs.google.com/spreadsheets/d/1gFVb7qd7amutrIxAA"&amp;"oM7lcy35hllxznovot8lyOfvDo/edit?usp=share_link"",""น่าน!J255"")+IMPORTRANGE(""https://docs.google.com/spreadsheets/d/1K0Aa9s-6EuHE5M0FG1F9aHLXRCOV917xvycTdLdct0w/edit?usp=share_link"",""พะเยา!J255"")+IMPORTRANGE(""https://docs.google.com/spreadsheets/d/1Y"&amp;"9LPKx95PyL5OKy09d-KbKJSuuEZCFdkhYjwC0XQjBA/edit?usp=share_link"",""พิจิตร!J255"")+IMPORTRANGE(""https://docs.google.com/spreadsheets/d/16OMuOwy2eVqZcYWOouQtTpa8X1L23h4660uVHc0C8os/edit?usp=share_link"",""พิษณุโลก!J255"")+IMPORTRANGE(""https://docs.google."&amp;"com/spreadsheets/d/1GfgTldLG6k77HXaMQzaafODklYuucJZQNs_GAPEfZyY/edit?usp=share_link"",""เพชรบูรณ์!J255"")+IMPORTRANGE(""https://docs.google.com/spreadsheets/d/1gvTMYAnm7v1yG1BKWFtr0DnaTsq59oW9dwWvFgq6hs0/edit?usp=share_link"",""แพร่!J255"")+IMPORTRANGE("""&amp;"https://docs.google.com/spreadsheets/d/1Wbcosgy-Xa1xXUArJSOenub6EfZHUSzc_bpJFWwQUf0/edit?usp=share_link"",""แม่ฮ่องสอน!J255"")+IMPORTRANGE(""https://docs.google.com/spreadsheets/d/1p7ERhsr0qZeSn-KSOdeHS9r0heI-lHtkcn2OH7hP0jQ/edit?usp=share_link"",""ลำปาง!"&amp;"J255"")+IMPORTRANGE(""https://docs.google.com/spreadsheets/d/1-uUXvimVhiU2U0bMN-xi2te0tS4X7DI2GLPnMjzl8cA/edit?usp=share_link"",""ลำพูน!J255"")+IMPORTRANGE(""https://docs.google.com/spreadsheets/d/17HrOaa5pBUI1onckFfumXB8xlg35qb2uBAFfF1D-Myo/edit?usp=shar"&amp;"e_link"",""สุโขทัย!J255"")+IMPORTRANGE(""https://docs.google.com/spreadsheets/d/1ubs5cl16eYL9gHbdHTJtmtYb9MGzHBs7CAphn8kNCgM/edit?usp=share_link"",""อุตรดิตถ์!J255"")+IMPORTRANGE(""https://docs.google.com/spreadsheets/d/1kII0BjS6CtVrBvI8IrytgPdxDrlyQDyigz"&amp;"MsohRtDMs/edit?usp=share_link"",""อุทัยธานี!J255"")
"),40)</f>
        <v>40</v>
      </c>
      <c r="K255" s="38">
        <f ca="1">IF(I255&gt;0,J255*100/I255,0)</f>
        <v>100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178"/>
      <c r="G256" s="179"/>
      <c r="H256" s="182"/>
      <c r="I256" s="37"/>
      <c r="J256" s="37"/>
      <c r="K256" s="38"/>
      <c r="L256" s="38"/>
      <c r="M256" s="38"/>
      <c r="N256" s="3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178"/>
      <c r="G257" s="179"/>
      <c r="H257" s="182" t="s">
        <v>35</v>
      </c>
      <c r="I257" s="37">
        <f ca="1">IFERROR(__xludf.DUMMYFUNCTION("IMPORTRANGE(""https://docs.google.com/spreadsheets/d/1KxicF4apzSqm0-jIpmueT4kyZtE-Cwn5zskl7GD4loQ/edit?usp=share_link"",""กำแพงเพชร!I257"")+IMPORTRANGE(""https://docs.google.com/spreadsheets/d/1ZNYWeiFoFA1K1U4xKWqRX29MBvEyRHXORjo734Gnq_c/edit?usp=share_li"&amp;"nk"",""เชียงราย!I257"")
+IMPORTRANGE(""https://docs.google.com/spreadsheets/d/1Jgv0Y7YlHDtsiDawwp-uvifEJ8HVaSn0k2aGHG8-hwM/edit?usp=share_link"",""เชียงใหม่!I257"")+IMPORTRANGE(""https://docs.google.com/spreadsheets/d/1JWG2rZePOz9pe-f-ObA-yDr0VoOX2kSb0qIi"&amp;"x2mTUo8/edit?usp=share_link"",""ตาก!I257"")+IMPORTRANGE(""https://docs.google.com/spreadsheets/d/10nSRjK08hx8Y6HgSOQKNw81lyY46Zc7U_Cj72hBMp9U/edit?usp=share_link"",""นครสวรรค์!I257"")+IMPORTRANGE(""https://docs.google.com/spreadsheets/d/1gFVb7qd7amutrIxAA"&amp;"oM7lcy35hllxznovot8lyOfvDo/edit?usp=share_link"",""น่าน!I257"")+IMPORTRANGE(""https://docs.google.com/spreadsheets/d/1K0Aa9s-6EuHE5M0FG1F9aHLXRCOV917xvycTdLdct0w/edit?usp=share_link"",""พะเยา!I257"")+IMPORTRANGE(""https://docs.google.com/spreadsheets/d/1Y"&amp;"9LPKx95PyL5OKy09d-KbKJSuuEZCFdkhYjwC0XQjBA/edit?usp=share_link"",""พิจิตร!I257"")+IMPORTRANGE(""https://docs.google.com/spreadsheets/d/16OMuOwy2eVqZcYWOouQtTpa8X1L23h4660uVHc0C8os/edit?usp=share_link"",""พิษณุโลก!I257"")+IMPORTRANGE(""https://docs.google."&amp;"com/spreadsheets/d/1GfgTldLG6k77HXaMQzaafODklYuucJZQNs_GAPEfZyY/edit?usp=share_link"",""เพชรบูรณ์!I257"")+IMPORTRANGE(""https://docs.google.com/spreadsheets/d/1gvTMYAnm7v1yG1BKWFtr0DnaTsq59oW9dwWvFgq6hs0/edit?usp=share_link"",""แพร่!I257"")+IMPORTRANGE("""&amp;"https://docs.google.com/spreadsheets/d/1Wbcosgy-Xa1xXUArJSOenub6EfZHUSzc_bpJFWwQUf0/edit?usp=share_link"",""แม่ฮ่องสอน!I257"")+IMPORTRANGE(""https://docs.google.com/spreadsheets/d/1p7ERhsr0qZeSn-KSOdeHS9r0heI-lHtkcn2OH7hP0jQ/edit?usp=share_link"",""ลำปาง!"&amp;"I257"")+IMPORTRANGE(""https://docs.google.com/spreadsheets/d/1-uUXvimVhiU2U0bMN-xi2te0tS4X7DI2GLPnMjzl8cA/edit?usp=share_link"",""ลำพูน!I257"")+IMPORTRANGE(""https://docs.google.com/spreadsheets/d/17HrOaa5pBUI1onckFfumXB8xlg35qb2uBAFfF1D-Myo/edit?usp=shar"&amp;"e_link"",""สุโขทัย!I257"")+IMPORTRANGE(""https://docs.google.com/spreadsheets/d/1ubs5cl16eYL9gHbdHTJtmtYb9MGzHBs7CAphn8kNCgM/edit?usp=share_link"",""อุตรดิตถ์!I257"")+IMPORTRANGE(""https://docs.google.com/spreadsheets/d/1kII0BjS6CtVrBvI8IrytgPdxDrlyQDyigz"&amp;"MsohRtDMs/edit?usp=share_link"",""อุทัยธานี!I257"")
"),40)</f>
        <v>40</v>
      </c>
      <c r="J257" s="183">
        <f ca="1">IFERROR(__xludf.DUMMYFUNCTION("IMPORTRANGE(""https://docs.google.com/spreadsheets/d/1KxicF4apzSqm0-jIpmueT4kyZtE-Cwn5zskl7GD4loQ/edit?usp=share_link"",""กำแพงเพชร!J257"")+IMPORTRANGE(""https://docs.google.com/spreadsheets/d/1ZNYWeiFoFA1K1U4xKWqRX29MBvEyRHXORjo734Gnq_c/edit?usp=share_li"&amp;"nk"",""เชียงราย!J257"")
+IMPORTRANGE(""https://docs.google.com/spreadsheets/d/1Jgv0Y7YlHDtsiDawwp-uvifEJ8HVaSn0k2aGHG8-hwM/edit?usp=share_link"",""เชียงใหม่!J257"")+IMPORTRANGE(""https://docs.google.com/spreadsheets/d/1JWG2rZePOz9pe-f-ObA-yDr0VoOX2kSb0qIi"&amp;"x2mTUo8/edit?usp=share_link"",""ตาก!J257"")+IMPORTRANGE(""https://docs.google.com/spreadsheets/d/10nSRjK08hx8Y6HgSOQKNw81lyY46Zc7U_Cj72hBMp9U/edit?usp=share_link"",""นครสวรรค์!J257"")+IMPORTRANGE(""https://docs.google.com/spreadsheets/d/1gFVb7qd7amutrIxAA"&amp;"oM7lcy35hllxznovot8lyOfvDo/edit?usp=share_link"",""น่าน!J257"")+IMPORTRANGE(""https://docs.google.com/spreadsheets/d/1K0Aa9s-6EuHE5M0FG1F9aHLXRCOV917xvycTdLdct0w/edit?usp=share_link"",""พะเยา!J257"")+IMPORTRANGE(""https://docs.google.com/spreadsheets/d/1Y"&amp;"9LPKx95PyL5OKy09d-KbKJSuuEZCFdkhYjwC0XQjBA/edit?usp=share_link"",""พิจิตร!J257"")+IMPORTRANGE(""https://docs.google.com/spreadsheets/d/16OMuOwy2eVqZcYWOouQtTpa8X1L23h4660uVHc0C8os/edit?usp=share_link"",""พิษณุโลก!J257"")+IMPORTRANGE(""https://docs.google."&amp;"com/spreadsheets/d/1GfgTldLG6k77HXaMQzaafODklYuucJZQNs_GAPEfZyY/edit?usp=share_link"",""เพชรบูรณ์!J257"")+IMPORTRANGE(""https://docs.google.com/spreadsheets/d/1gvTMYAnm7v1yG1BKWFtr0DnaTsq59oW9dwWvFgq6hs0/edit?usp=share_link"",""แพร่!J257"")+IMPORTRANGE("""&amp;"https://docs.google.com/spreadsheets/d/1Wbcosgy-Xa1xXUArJSOenub6EfZHUSzc_bpJFWwQUf0/edit?usp=share_link"",""แม่ฮ่องสอน!J257"")+IMPORTRANGE(""https://docs.google.com/spreadsheets/d/1p7ERhsr0qZeSn-KSOdeHS9r0heI-lHtkcn2OH7hP0jQ/edit?usp=share_link"",""ลำปาง!"&amp;"J257"")+IMPORTRANGE(""https://docs.google.com/spreadsheets/d/1-uUXvimVhiU2U0bMN-xi2te0tS4X7DI2GLPnMjzl8cA/edit?usp=share_link"",""ลำพูน!J257"")+IMPORTRANGE(""https://docs.google.com/spreadsheets/d/17HrOaa5pBUI1onckFfumXB8xlg35qb2uBAFfF1D-Myo/edit?usp=shar"&amp;"e_link"",""สุโขทัย!J257"")+IMPORTRANGE(""https://docs.google.com/spreadsheets/d/1ubs5cl16eYL9gHbdHTJtmtYb9MGzHBs7CAphn8kNCgM/edit?usp=share_link"",""อุตรดิตถ์!J257"")+IMPORTRANGE(""https://docs.google.com/spreadsheets/d/1kII0BjS6CtVrBvI8IrytgPdxDrlyQDyigz"&amp;"MsohRtDMs/edit?usp=share_link"",""อุทัยธานี!J257"")
"),0)</f>
        <v>0</v>
      </c>
      <c r="K257" s="38">
        <f t="shared" ref="K257:K258" ca="1" si="137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182" t="s">
        <v>66</v>
      </c>
      <c r="I258" s="37">
        <f ca="1">IFERROR(__xludf.DUMMYFUNCTION("IMPORTRANGE(""https://docs.google.com/spreadsheets/d/1KxicF4apzSqm0-jIpmueT4kyZtE-Cwn5zskl7GD4loQ/edit?usp=share_link"",""กำแพงเพชร!I258"")+IMPORTRANGE(""https://docs.google.com/spreadsheets/d/1ZNYWeiFoFA1K1U4xKWqRX29MBvEyRHXORjo734Gnq_c/edit?usp=share_li"&amp;"nk"",""เชียงราย!I258"")
+IMPORTRANGE(""https://docs.google.com/spreadsheets/d/1Jgv0Y7YlHDtsiDawwp-uvifEJ8HVaSn0k2aGHG8-hwM/edit?usp=share_link"",""เชียงใหม่!I258"")+IMPORTRANGE(""https://docs.google.com/spreadsheets/d/1JWG2rZePOz9pe-f-ObA-yDr0VoOX2kSb0qIi"&amp;"x2mTUo8/edit?usp=share_link"",""ตาก!I258"")+IMPORTRANGE(""https://docs.google.com/spreadsheets/d/10nSRjK08hx8Y6HgSOQKNw81lyY46Zc7U_Cj72hBMp9U/edit?usp=share_link"",""นครสวรรค์!I258"")+IMPORTRANGE(""https://docs.google.com/spreadsheets/d/1gFVb7qd7amutrIxAA"&amp;"oM7lcy35hllxznovot8lyOfvDo/edit?usp=share_link"",""น่าน!I258"")+IMPORTRANGE(""https://docs.google.com/spreadsheets/d/1K0Aa9s-6EuHE5M0FG1F9aHLXRCOV917xvycTdLdct0w/edit?usp=share_link"",""พะเยา!I258"")+IMPORTRANGE(""https://docs.google.com/spreadsheets/d/1Y"&amp;"9LPKx95PyL5OKy09d-KbKJSuuEZCFdkhYjwC0XQjBA/edit?usp=share_link"",""พิจิตร!I258"")+IMPORTRANGE(""https://docs.google.com/spreadsheets/d/16OMuOwy2eVqZcYWOouQtTpa8X1L23h4660uVHc0C8os/edit?usp=share_link"",""พิษณุโลก!I258"")+IMPORTRANGE(""https://docs.google."&amp;"com/spreadsheets/d/1GfgTldLG6k77HXaMQzaafODklYuucJZQNs_GAPEfZyY/edit?usp=share_link"",""เพชรบูรณ์!I258"")+IMPORTRANGE(""https://docs.google.com/spreadsheets/d/1gvTMYAnm7v1yG1BKWFtr0DnaTsq59oW9dwWvFgq6hs0/edit?usp=share_link"",""แพร่!I258"")+IMPORTRANGE("""&amp;"https://docs.google.com/spreadsheets/d/1Wbcosgy-Xa1xXUArJSOenub6EfZHUSzc_bpJFWwQUf0/edit?usp=share_link"",""แม่ฮ่องสอน!I258"")+IMPORTRANGE(""https://docs.google.com/spreadsheets/d/1p7ERhsr0qZeSn-KSOdeHS9r0heI-lHtkcn2OH7hP0jQ/edit?usp=share_link"",""ลำปาง!"&amp;"I258"")+IMPORTRANGE(""https://docs.google.com/spreadsheets/d/1-uUXvimVhiU2U0bMN-xi2te0tS4X7DI2GLPnMjzl8cA/edit?usp=share_link"",""ลำพูน!I258"")+IMPORTRANGE(""https://docs.google.com/spreadsheets/d/17HrOaa5pBUI1onckFfumXB8xlg35qb2uBAFfF1D-Myo/edit?usp=shar"&amp;"e_link"",""สุโขทัย!I258"")+IMPORTRANGE(""https://docs.google.com/spreadsheets/d/1ubs5cl16eYL9gHbdHTJtmtYb9MGzHBs7CAphn8kNCgM/edit?usp=share_link"",""อุตรดิตถ์!I258"")+IMPORTRANGE(""https://docs.google.com/spreadsheets/d/1kII0BjS6CtVrBvI8IrytgPdxDrlyQDyigz"&amp;"MsohRtDMs/edit?usp=share_link"",""อุทัยธานี!I258"")
"),1)</f>
        <v>1</v>
      </c>
      <c r="J258" s="183">
        <f ca="1">IFERROR(__xludf.DUMMYFUNCTION("IMPORTRANGE(""https://docs.google.com/spreadsheets/d/1KxicF4apzSqm0-jIpmueT4kyZtE-Cwn5zskl7GD4loQ/edit?usp=share_link"",""กำแพงเพชร!J258"")+IMPORTRANGE(""https://docs.google.com/spreadsheets/d/1ZNYWeiFoFA1K1U4xKWqRX29MBvEyRHXORjo734Gnq_c/edit?usp=share_li"&amp;"nk"",""เชียงราย!J258"")
+IMPORTRANGE(""https://docs.google.com/spreadsheets/d/1Jgv0Y7YlHDtsiDawwp-uvifEJ8HVaSn0k2aGHG8-hwM/edit?usp=share_link"",""เชียงใหม่!J258"")+IMPORTRANGE(""https://docs.google.com/spreadsheets/d/1JWG2rZePOz9pe-f-ObA-yDr0VoOX2kSb0qIi"&amp;"x2mTUo8/edit?usp=share_link"",""ตาก!J258"")+IMPORTRANGE(""https://docs.google.com/spreadsheets/d/10nSRjK08hx8Y6HgSOQKNw81lyY46Zc7U_Cj72hBMp9U/edit?usp=share_link"",""นครสวรรค์!J258"")+IMPORTRANGE(""https://docs.google.com/spreadsheets/d/1gFVb7qd7amutrIxAA"&amp;"oM7lcy35hllxznovot8lyOfvDo/edit?usp=share_link"",""น่าน!J258"")+IMPORTRANGE(""https://docs.google.com/spreadsheets/d/1K0Aa9s-6EuHE5M0FG1F9aHLXRCOV917xvycTdLdct0w/edit?usp=share_link"",""พะเยา!J258"")+IMPORTRANGE(""https://docs.google.com/spreadsheets/d/1Y"&amp;"9LPKx95PyL5OKy09d-KbKJSuuEZCFdkhYjwC0XQjBA/edit?usp=share_link"",""พิจิตร!J258"")+IMPORTRANGE(""https://docs.google.com/spreadsheets/d/16OMuOwy2eVqZcYWOouQtTpa8X1L23h4660uVHc0C8os/edit?usp=share_link"",""พิษณุโลก!J258"")+IMPORTRANGE(""https://docs.google."&amp;"com/spreadsheets/d/1GfgTldLG6k77HXaMQzaafODklYuucJZQNs_GAPEfZyY/edit?usp=share_link"",""เพชรบูรณ์!J258"")+IMPORTRANGE(""https://docs.google.com/spreadsheets/d/1gvTMYAnm7v1yG1BKWFtr0DnaTsq59oW9dwWvFgq6hs0/edit?usp=share_link"",""แพร่!J258"")+IMPORTRANGE("""&amp;"https://docs.google.com/spreadsheets/d/1Wbcosgy-Xa1xXUArJSOenub6EfZHUSzc_bpJFWwQUf0/edit?usp=share_link"",""แม่ฮ่องสอน!J258"")+IMPORTRANGE(""https://docs.google.com/spreadsheets/d/1p7ERhsr0qZeSn-KSOdeHS9r0heI-lHtkcn2OH7hP0jQ/edit?usp=share_link"",""ลำปาง!"&amp;"J258"")+IMPORTRANGE(""https://docs.google.com/spreadsheets/d/1-uUXvimVhiU2U0bMN-xi2te0tS4X7DI2GLPnMjzl8cA/edit?usp=share_link"",""ลำพูน!J258"")+IMPORTRANGE(""https://docs.google.com/spreadsheets/d/17HrOaa5pBUI1onckFfumXB8xlg35qb2uBAFfF1D-Myo/edit?usp=shar"&amp;"e_link"",""สุโขทัย!J258"")+IMPORTRANGE(""https://docs.google.com/spreadsheets/d/1ubs5cl16eYL9gHbdHTJtmtYb9MGzHBs7CAphn8kNCgM/edit?usp=share_link"",""อุตรดิตถ์!J258"")+IMPORTRANGE(""https://docs.google.com/spreadsheets/d/1kII0BjS6CtVrBvI8IrytgPdxDrlyQDyigz"&amp;"MsohRtDMs/edit?usp=share_link"",""อุทัยธานี!J258"")
"),0)</f>
        <v>0</v>
      </c>
      <c r="K258" s="38">
        <f t="shared" ca="1" si="137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8">I271</f>
        <v>396</v>
      </c>
      <c r="J260" s="253">
        <f t="shared" ca="1" si="138"/>
        <v>354</v>
      </c>
      <c r="K260" s="254">
        <f ca="1">IF(I260&gt;0,J260*100/I260,0)</f>
        <v>89.393939393939391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9">L262+L263</f>
        <v>1193200</v>
      </c>
      <c r="M261" s="155">
        <f t="shared" ca="1" si="139"/>
        <v>947200</v>
      </c>
      <c r="N261" s="155">
        <f t="shared" ca="1" si="139"/>
        <v>582174.57999999996</v>
      </c>
      <c r="O261" s="155">
        <f t="shared" ref="O261:O269" ca="1" si="140">IF(L261&gt;0,N261*100/L261,0)</f>
        <v>48.79103084143479</v>
      </c>
      <c r="P261" s="155">
        <f t="shared" ref="P261:P269" ca="1" si="141">IF(M261&gt;0,N261*100/M261,0)</f>
        <v>61.462687922297292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2">L265+L268</f>
        <v>0</v>
      </c>
      <c r="M262" s="45">
        <f t="shared" si="142"/>
        <v>0</v>
      </c>
      <c r="N262" s="45">
        <f t="shared" si="142"/>
        <v>0</v>
      </c>
      <c r="O262" s="45">
        <f t="shared" si="140"/>
        <v>0</v>
      </c>
      <c r="P262" s="45">
        <f t="shared" si="141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3">L266+L269</f>
        <v>1193200</v>
      </c>
      <c r="M263" s="45">
        <f t="shared" ca="1" si="143"/>
        <v>947200</v>
      </c>
      <c r="N263" s="45">
        <f t="shared" ca="1" si="143"/>
        <v>582174.57999999996</v>
      </c>
      <c r="O263" s="45">
        <f t="shared" ca="1" si="140"/>
        <v>48.79103084143479</v>
      </c>
      <c r="P263" s="45">
        <f t="shared" ca="1" si="141"/>
        <v>61.462687922297292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4">L265+L266</f>
        <v>1193200</v>
      </c>
      <c r="M264" s="38">
        <f t="shared" ca="1" si="144"/>
        <v>947200</v>
      </c>
      <c r="N264" s="38">
        <f t="shared" ca="1" si="144"/>
        <v>582174.57999999996</v>
      </c>
      <c r="O264" s="38">
        <f t="shared" ca="1" si="140"/>
        <v>48.79103084143479</v>
      </c>
      <c r="P264" s="38">
        <f t="shared" ca="1" si="141"/>
        <v>61.462687922297292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40"/>
        <v>0</v>
      </c>
      <c r="P265" s="45">
        <f t="shared" si="141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xicF4apzSqm0-jIpmueT4kyZtE-Cwn5zskl7GD4loQ/edit?usp=share_link"",""กำแพงเพชร!l266"")+IMPORTRANGE(""https://docs.google.com/spreadsheets/d/1ZNYWeiFoFA1K1U4xKWqRX29MBvEyRHXORjo734Gnq_c/edit?usp=share_li"&amp;"nk"",""เชียงราย!l266"")
+IMPORTRANGE(""https://docs.google.com/spreadsheets/d/1Jgv0Y7YlHDtsiDawwp-uvifEJ8HVaSn0k2aGHG8-hwM/edit?usp=share_link"",""เชียงใหม่!l266"")+IMPORTRANGE(""https://docs.google.com/spreadsheets/d/1JWG2rZePOz9pe-f-ObA-yDr0VoOX2kSb0qIi"&amp;"x2mTUo8/edit?usp=share_link"",""ตาก!l266"")+IMPORTRANGE(""https://docs.google.com/spreadsheets/d/10nSRjK08hx8Y6HgSOQKNw81lyY46Zc7U_Cj72hBMp9U/edit?usp=share_link"",""นครสวรรค์!l266"")+IMPORTRANGE(""https://docs.google.com/spreadsheets/d/1gFVb7qd7amutrIxAA"&amp;"oM7lcy35hllxznovot8lyOfvDo/edit?usp=share_link"",""น่าน!l266"")+IMPORTRANGE(""https://docs.google.com/spreadsheets/d/1K0Aa9s-6EuHE5M0FG1F9aHLXRCOV917xvycTdLdct0w/edit?usp=share_link"",""พะเยา!l266"")+IMPORTRANGE(""https://docs.google.com/spreadsheets/d/1Y"&amp;"9LPKx95PyL5OKy09d-KbKJSuuEZCFdkhYjwC0XQjBA/edit?usp=share_link"",""พิจิตร!l266"")+IMPORTRANGE(""https://docs.google.com/spreadsheets/d/16OMuOwy2eVqZcYWOouQtTpa8X1L23h4660uVHc0C8os/edit?usp=share_link"",""พิษณุโลก!l266"")+IMPORTRANGE(""https://docs.google."&amp;"com/spreadsheets/d/1GfgTldLG6k77HXaMQzaafODklYuucJZQNs_GAPEfZyY/edit?usp=share_link"",""เพชรบูรณ์!l266"")+IMPORTRANGE(""https://docs.google.com/spreadsheets/d/1gvTMYAnm7v1yG1BKWFtr0DnaTsq59oW9dwWvFgq6hs0/edit?usp=share_link"",""แพร่!l266"")+IMPORTRANGE("""&amp;"https://docs.google.com/spreadsheets/d/1Wbcosgy-Xa1xXUArJSOenub6EfZHUSzc_bpJFWwQUf0/edit?usp=share_link"",""แม่ฮ่องสอน!l266"")+IMPORTRANGE(""https://docs.google.com/spreadsheets/d/1p7ERhsr0qZeSn-KSOdeHS9r0heI-lHtkcn2OH7hP0jQ/edit?usp=share_link"",""ลำปาง!"&amp;"l266"")+IMPORTRANGE(""https://docs.google.com/spreadsheets/d/1-uUXvimVhiU2U0bMN-xi2te0tS4X7DI2GLPnMjzl8cA/edit?usp=share_link"",""ลำพูน!l266"")+IMPORTRANGE(""https://docs.google.com/spreadsheets/d/17HrOaa5pBUI1onckFfumXB8xlg35qb2uBAFfF1D-Myo/edit?usp=shar"&amp;"e_link"",""สุโขทัย!l266"")+IMPORTRANGE(""https://docs.google.com/spreadsheets/d/1ubs5cl16eYL9gHbdHTJtmtYb9MGzHBs7CAphn8kNCgM/edit?usp=share_link"",""อุตรดิตถ์!l266"")+IMPORTRANGE(""https://docs.google.com/spreadsheets/d/1kII0BjS6CtVrBvI8IrytgPdxDrlyQDyigz"&amp;"MsohRtDMs/edit?usp=share_link"",""อุทัยธานี!l266"")
"),1193200)</f>
        <v>1193200</v>
      </c>
      <c r="M266" s="45">
        <f ca="1">IFERROR(__xludf.DUMMYFUNCTION("IMPORTRANGE(""https://docs.google.com/spreadsheets/d/1KxicF4apzSqm0-jIpmueT4kyZtE-Cwn5zskl7GD4loQ/edit?usp=share_link"",""กำแพงเพชร!m266"")+IMPORTRANGE(""https://docs.google.com/spreadsheets/d/1ZNYWeiFoFA1K1U4xKWqRX29MBvEyRHXORjo734Gnq_c/edit?usp=share_li"&amp;"nk"",""เชียงราย!m266"")
+IMPORTRANGE(""https://docs.google.com/spreadsheets/d/1Jgv0Y7YlHDtsiDawwp-uvifEJ8HVaSn0k2aGHG8-hwM/edit?usp=share_link"",""เชียงใหม่!m266"")+IMPORTRANGE(""https://docs.google.com/spreadsheets/d/1JWG2rZePOz9pe-f-ObA-yDr0VoOX2kSb0qIi"&amp;"x2mTUo8/edit?usp=share_link"",""ตาก!m266"")+IMPORTRANGE(""https://docs.google.com/spreadsheets/d/10nSRjK08hx8Y6HgSOQKNw81lyY46Zc7U_Cj72hBMp9U/edit?usp=share_link"",""นครสวรรค์!m266"")+IMPORTRANGE(""https://docs.google.com/spreadsheets/d/1gFVb7qd7amutrIxAA"&amp;"oM7lcy35hllxznovot8lyOfvDo/edit?usp=share_link"",""น่าน!m266"")+IMPORTRANGE(""https://docs.google.com/spreadsheets/d/1K0Aa9s-6EuHE5M0FG1F9aHLXRCOV917xvycTdLdct0w/edit?usp=share_link"",""พะเยา!m266"")+IMPORTRANGE(""https://docs.google.com/spreadsheets/d/1Y"&amp;"9LPKx95PyL5OKy09d-KbKJSuuEZCFdkhYjwC0XQjBA/edit?usp=share_link"",""พิจิตร!m266"")+IMPORTRANGE(""https://docs.google.com/spreadsheets/d/16OMuOwy2eVqZcYWOouQtTpa8X1L23h4660uVHc0C8os/edit?usp=share_link"",""พิษณุโลก!m266"")+IMPORTRANGE(""https://docs.google."&amp;"com/spreadsheets/d/1GfgTldLG6k77HXaMQzaafODklYuucJZQNs_GAPEfZyY/edit?usp=share_link"",""เพชรบูรณ์!m266"")+IMPORTRANGE(""https://docs.google.com/spreadsheets/d/1gvTMYAnm7v1yG1BKWFtr0DnaTsq59oW9dwWvFgq6hs0/edit?usp=share_link"",""แพร่!m266"")+IMPORTRANGE("""&amp;"https://docs.google.com/spreadsheets/d/1Wbcosgy-Xa1xXUArJSOenub6EfZHUSzc_bpJFWwQUf0/edit?usp=share_link"",""แม่ฮ่องสอน!m266"")+IMPORTRANGE(""https://docs.google.com/spreadsheets/d/1p7ERhsr0qZeSn-KSOdeHS9r0heI-lHtkcn2OH7hP0jQ/edit?usp=share_link"",""ลำปาง!"&amp;"m266"")+IMPORTRANGE(""https://docs.google.com/spreadsheets/d/1-uUXvimVhiU2U0bMN-xi2te0tS4X7DI2GLPnMjzl8cA/edit?usp=share_link"",""ลำพูน!m266"")+IMPORTRANGE(""https://docs.google.com/spreadsheets/d/17HrOaa5pBUI1onckFfumXB8xlg35qb2uBAFfF1D-Myo/edit?usp=shar"&amp;"e_link"",""สุโขทัย!m266"")+IMPORTRANGE(""https://docs.google.com/spreadsheets/d/1ubs5cl16eYL9gHbdHTJtmtYb9MGzHBs7CAphn8kNCgM/edit?usp=share_link"",""อุตรดิตถ์!m266"")+IMPORTRANGE(""https://docs.google.com/spreadsheets/d/1kII0BjS6CtVrBvI8IrytgPdxDrlyQDyigz"&amp;"MsohRtDMs/edit?usp=share_link"",""อุทัยธานี!m266"")
"),947200)</f>
        <v>947200</v>
      </c>
      <c r="N266" s="45">
        <f ca="1">IFERROR(__xludf.DUMMYFUNCTION("IMPORTRANGE(""https://docs.google.com/spreadsheets/d/1KxicF4apzSqm0-jIpmueT4kyZtE-Cwn5zskl7GD4loQ/edit?usp=share_link"",""กำแพงเพชร!n266"")+IMPORTRANGE(""https://docs.google.com/spreadsheets/d/1ZNYWeiFoFA1K1U4xKWqRX29MBvEyRHXORjo734Gnq_c/edit?usp=share_li"&amp;"nk"",""เชียงราย!n266"")
+IMPORTRANGE(""https://docs.google.com/spreadsheets/d/1Jgv0Y7YlHDtsiDawwp-uvifEJ8HVaSn0k2aGHG8-hwM/edit?usp=share_link"",""เชียงใหม่!n266"")+IMPORTRANGE(""https://docs.google.com/spreadsheets/d/1JWG2rZePOz9pe-f-ObA-yDr0VoOX2kSb0qIi"&amp;"x2mTUo8/edit?usp=share_link"",""ตาก!n266"")+IMPORTRANGE(""https://docs.google.com/spreadsheets/d/10nSRjK08hx8Y6HgSOQKNw81lyY46Zc7U_Cj72hBMp9U/edit?usp=share_link"",""นครสวรรค์!n266"")+IMPORTRANGE(""https://docs.google.com/spreadsheets/d/1gFVb7qd7amutrIxAA"&amp;"oM7lcy35hllxznovot8lyOfvDo/edit?usp=share_link"",""น่าน!n266"")+IMPORTRANGE(""https://docs.google.com/spreadsheets/d/1K0Aa9s-6EuHE5M0FG1F9aHLXRCOV917xvycTdLdct0w/edit?usp=share_link"",""พะเยา!n266"")+IMPORTRANGE(""https://docs.google.com/spreadsheets/d/1Y"&amp;"9LPKx95PyL5OKy09d-KbKJSuuEZCFdkhYjwC0XQjBA/edit?usp=share_link"",""พิจิตร!n266"")+IMPORTRANGE(""https://docs.google.com/spreadsheets/d/16OMuOwy2eVqZcYWOouQtTpa8X1L23h4660uVHc0C8os/edit?usp=share_link"",""พิษณุโลก!n266"")+IMPORTRANGE(""https://docs.google."&amp;"com/spreadsheets/d/1GfgTldLG6k77HXaMQzaafODklYuucJZQNs_GAPEfZyY/edit?usp=share_link"",""เพชรบูรณ์!n266"")+IMPORTRANGE(""https://docs.google.com/spreadsheets/d/1gvTMYAnm7v1yG1BKWFtr0DnaTsq59oW9dwWvFgq6hs0/edit?usp=share_link"",""แพร่!n266"")+IMPORTRANGE("""&amp;"https://docs.google.com/spreadsheets/d/1Wbcosgy-Xa1xXUArJSOenub6EfZHUSzc_bpJFWwQUf0/edit?usp=share_link"",""แม่ฮ่องสอน!n266"")+IMPORTRANGE(""https://docs.google.com/spreadsheets/d/1p7ERhsr0qZeSn-KSOdeHS9r0heI-lHtkcn2OH7hP0jQ/edit?usp=share_link"",""ลำปาง!"&amp;"n266"")+IMPORTRANGE(""https://docs.google.com/spreadsheets/d/1-uUXvimVhiU2U0bMN-xi2te0tS4X7DI2GLPnMjzl8cA/edit?usp=share_link"",""ลำพูน!n266"")+IMPORTRANGE(""https://docs.google.com/spreadsheets/d/17HrOaa5pBUI1onckFfumXB8xlg35qb2uBAFfF1D-Myo/edit?usp=shar"&amp;"e_link"",""สุโขทัย!n266"")+IMPORTRANGE(""https://docs.google.com/spreadsheets/d/1ubs5cl16eYL9gHbdHTJtmtYb9MGzHBs7CAphn8kNCgM/edit?usp=share_link"",""อุตรดิตถ์!n266"")+IMPORTRANGE(""https://docs.google.com/spreadsheets/d/1kII0BjS6CtVrBvI8IrytgPdxDrlyQDyigz"&amp;"MsohRtDMs/edit?usp=share_link"",""อุทัยธานี!n266"")
"),582174.58)</f>
        <v>582174.57999999996</v>
      </c>
      <c r="O266" s="45">
        <f t="shared" ca="1" si="140"/>
        <v>48.79103084143479</v>
      </c>
      <c r="P266" s="45">
        <f t="shared" ca="1" si="141"/>
        <v>61.462687922297292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5">L268+L269</f>
        <v>0</v>
      </c>
      <c r="M267" s="38">
        <f t="shared" ca="1" si="145"/>
        <v>0</v>
      </c>
      <c r="N267" s="38">
        <f t="shared" ca="1" si="145"/>
        <v>0</v>
      </c>
      <c r="O267" s="38">
        <f t="shared" ca="1" si="140"/>
        <v>0</v>
      </c>
      <c r="P267" s="38">
        <f t="shared" ca="1" si="141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40"/>
        <v>0</v>
      </c>
      <c r="P268" s="45">
        <f t="shared" si="141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xicF4apzSqm0-jIpmueT4kyZtE-Cwn5zskl7GD4loQ/edit?usp=share_link"",""กำแพงเพชร!l269"")+IMPORTRANGE(""https://docs.google.com/spreadsheets/d/1ZNYWeiFoFA1K1U4xKWqRX29MBvEyRHXORjo734Gnq_c/edit?usp=share_li"&amp;"nk"",""เชียงราย!l269"")
+IMPORTRANGE(""https://docs.google.com/spreadsheets/d/1Jgv0Y7YlHDtsiDawwp-uvifEJ8HVaSn0k2aGHG8-hwM/edit?usp=share_link"",""เชียงใหม่!l269"")+IMPORTRANGE(""https://docs.google.com/spreadsheets/d/1JWG2rZePOz9pe-f-ObA-yDr0VoOX2kSb0qIi"&amp;"x2mTUo8/edit?usp=share_link"",""ตาก!l269"")+IMPORTRANGE(""https://docs.google.com/spreadsheets/d/10nSRjK08hx8Y6HgSOQKNw81lyY46Zc7U_Cj72hBMp9U/edit?usp=share_link"",""นครสวรรค์!l269"")+IMPORTRANGE(""https://docs.google.com/spreadsheets/d/1gFVb7qd7amutrIxAA"&amp;"oM7lcy35hllxznovot8lyOfvDo/edit?usp=share_link"",""น่าน!l269"")+IMPORTRANGE(""https://docs.google.com/spreadsheets/d/1K0Aa9s-6EuHE5M0FG1F9aHLXRCOV917xvycTdLdct0w/edit?usp=share_link"",""พะเยา!l269"")+IMPORTRANGE(""https://docs.google.com/spreadsheets/d/1Y"&amp;"9LPKx95PyL5OKy09d-KbKJSuuEZCFdkhYjwC0XQjBA/edit?usp=share_link"",""พิจิตร!l269"")+IMPORTRANGE(""https://docs.google.com/spreadsheets/d/16OMuOwy2eVqZcYWOouQtTpa8X1L23h4660uVHc0C8os/edit?usp=share_link"",""พิษณุโลก!l269"")+IMPORTRANGE(""https://docs.google."&amp;"com/spreadsheets/d/1GfgTldLG6k77HXaMQzaafODklYuucJZQNs_GAPEfZyY/edit?usp=share_link"",""เพชรบูรณ์!l269"")+IMPORTRANGE(""https://docs.google.com/spreadsheets/d/1gvTMYAnm7v1yG1BKWFtr0DnaTsq59oW9dwWvFgq6hs0/edit?usp=share_link"",""แพร่!l269"")+IMPORTRANGE("""&amp;"https://docs.google.com/spreadsheets/d/1Wbcosgy-Xa1xXUArJSOenub6EfZHUSzc_bpJFWwQUf0/edit?usp=share_link"",""แม่ฮ่องสอน!l269"")+IMPORTRANGE(""https://docs.google.com/spreadsheets/d/1p7ERhsr0qZeSn-KSOdeHS9r0heI-lHtkcn2OH7hP0jQ/edit?usp=share_link"",""ลำปาง!"&amp;"l269"")+IMPORTRANGE(""https://docs.google.com/spreadsheets/d/1-uUXvimVhiU2U0bMN-xi2te0tS4X7DI2GLPnMjzl8cA/edit?usp=share_link"",""ลำพูน!l269"")+IMPORTRANGE(""https://docs.google.com/spreadsheets/d/17HrOaa5pBUI1onckFfumXB8xlg35qb2uBAFfF1D-Myo/edit?usp=shar"&amp;"e_link"",""สุโขทัย!l269"")+IMPORTRANGE(""https://docs.google.com/spreadsheets/d/1ubs5cl16eYL9gHbdHTJtmtYb9MGzHBs7CAphn8kNCgM/edit?usp=share_link"",""อุตรดิตถ์!l269"")+IMPORTRANGE(""https://docs.google.com/spreadsheets/d/1kII0BjS6CtVrBvI8IrytgPdxDrlyQDyigz"&amp;"MsohRtDMs/edit?usp=share_link"",""อุทัยธานี!l269"")
"),0)</f>
        <v>0</v>
      </c>
      <c r="M269" s="45">
        <f ca="1">IFERROR(__xludf.DUMMYFUNCTION("IMPORTRANGE(""https://docs.google.com/spreadsheets/d/1KxicF4apzSqm0-jIpmueT4kyZtE-Cwn5zskl7GD4loQ/edit?usp=share_link"",""กำแพงเพชร!m269"")+IMPORTRANGE(""https://docs.google.com/spreadsheets/d/1ZNYWeiFoFA1K1U4xKWqRX29MBvEyRHXORjo734Gnq_c/edit?usp=share_li"&amp;"nk"",""เชียงราย!m269"")
+IMPORTRANGE(""https://docs.google.com/spreadsheets/d/1Jgv0Y7YlHDtsiDawwp-uvifEJ8HVaSn0k2aGHG8-hwM/edit?usp=share_link"",""เชียงใหม่!m269"")+IMPORTRANGE(""https://docs.google.com/spreadsheets/d/1JWG2rZePOz9pe-f-ObA-yDr0VoOX2kSb0qIi"&amp;"x2mTUo8/edit?usp=share_link"",""ตาก!m269"")+IMPORTRANGE(""https://docs.google.com/spreadsheets/d/10nSRjK08hx8Y6HgSOQKNw81lyY46Zc7U_Cj72hBMp9U/edit?usp=share_link"",""นครสวรรค์!m269"")+IMPORTRANGE(""https://docs.google.com/spreadsheets/d/1gFVb7qd7amutrIxAA"&amp;"oM7lcy35hllxznovot8lyOfvDo/edit?usp=share_link"",""น่าน!m269"")+IMPORTRANGE(""https://docs.google.com/spreadsheets/d/1K0Aa9s-6EuHE5M0FG1F9aHLXRCOV917xvycTdLdct0w/edit?usp=share_link"",""พะเยา!m269"")+IMPORTRANGE(""https://docs.google.com/spreadsheets/d/1Y"&amp;"9LPKx95PyL5OKy09d-KbKJSuuEZCFdkhYjwC0XQjBA/edit?usp=share_link"",""พิจิตร!m269"")+IMPORTRANGE(""https://docs.google.com/spreadsheets/d/16OMuOwy2eVqZcYWOouQtTpa8X1L23h4660uVHc0C8os/edit?usp=share_link"",""พิษณุโลก!m269"")+IMPORTRANGE(""https://docs.google."&amp;"com/spreadsheets/d/1GfgTldLG6k77HXaMQzaafODklYuucJZQNs_GAPEfZyY/edit?usp=share_link"",""เพชรบูรณ์!m269"")+IMPORTRANGE(""https://docs.google.com/spreadsheets/d/1gvTMYAnm7v1yG1BKWFtr0DnaTsq59oW9dwWvFgq6hs0/edit?usp=share_link"",""แพร่!m269"")+IMPORTRANGE("""&amp;"https://docs.google.com/spreadsheets/d/1Wbcosgy-Xa1xXUArJSOenub6EfZHUSzc_bpJFWwQUf0/edit?usp=share_link"",""แม่ฮ่องสอน!m269"")+IMPORTRANGE(""https://docs.google.com/spreadsheets/d/1p7ERhsr0qZeSn-KSOdeHS9r0heI-lHtkcn2OH7hP0jQ/edit?usp=share_link"",""ลำปาง!"&amp;"m269"")+IMPORTRANGE(""https://docs.google.com/spreadsheets/d/1-uUXvimVhiU2U0bMN-xi2te0tS4X7DI2GLPnMjzl8cA/edit?usp=share_link"",""ลำพูน!m269"")+IMPORTRANGE(""https://docs.google.com/spreadsheets/d/17HrOaa5pBUI1onckFfumXB8xlg35qb2uBAFfF1D-Myo/edit?usp=shar"&amp;"e_link"",""สุโขทัย!m269"")+IMPORTRANGE(""https://docs.google.com/spreadsheets/d/1ubs5cl16eYL9gHbdHTJtmtYb9MGzHBs7CAphn8kNCgM/edit?usp=share_link"",""อุตรดิตถ์!m269"")+IMPORTRANGE(""https://docs.google.com/spreadsheets/d/1kII0BjS6CtVrBvI8IrytgPdxDrlyQDyigz"&amp;"MsohRtDMs/edit?usp=share_link"",""อุทัยธานี!m269"")
"),0)</f>
        <v>0</v>
      </c>
      <c r="N269" s="45">
        <f ca="1">IFERROR(__xludf.DUMMYFUNCTION("IMPORTRANGE(""https://docs.google.com/spreadsheets/d/1KxicF4apzSqm0-jIpmueT4kyZtE-Cwn5zskl7GD4loQ/edit?usp=share_link"",""กำแพงเพชร!n269"")+IMPORTRANGE(""https://docs.google.com/spreadsheets/d/1ZNYWeiFoFA1K1U4xKWqRX29MBvEyRHXORjo734Gnq_c/edit?usp=share_li"&amp;"nk"",""เชียงราย!n269"")
+IMPORTRANGE(""https://docs.google.com/spreadsheets/d/1Jgv0Y7YlHDtsiDawwp-uvifEJ8HVaSn0k2aGHG8-hwM/edit?usp=share_link"",""เชียงใหม่!n269"")+IMPORTRANGE(""https://docs.google.com/spreadsheets/d/1JWG2rZePOz9pe-f-ObA-yDr0VoOX2kSb0qIi"&amp;"x2mTUo8/edit?usp=share_link"",""ตาก!n269"")+IMPORTRANGE(""https://docs.google.com/spreadsheets/d/10nSRjK08hx8Y6HgSOQKNw81lyY46Zc7U_Cj72hBMp9U/edit?usp=share_link"",""นครสวรรค์!n269"")+IMPORTRANGE(""https://docs.google.com/spreadsheets/d/1gFVb7qd7amutrIxAA"&amp;"oM7lcy35hllxznovot8lyOfvDo/edit?usp=share_link"",""น่าน!n269"")+IMPORTRANGE(""https://docs.google.com/spreadsheets/d/1K0Aa9s-6EuHE5M0FG1F9aHLXRCOV917xvycTdLdct0w/edit?usp=share_link"",""พะเยา!n269"")+IMPORTRANGE(""https://docs.google.com/spreadsheets/d/1Y"&amp;"9LPKx95PyL5OKy09d-KbKJSuuEZCFdkhYjwC0XQjBA/edit?usp=share_link"",""พิจิตร!n269"")+IMPORTRANGE(""https://docs.google.com/spreadsheets/d/16OMuOwy2eVqZcYWOouQtTpa8X1L23h4660uVHc0C8os/edit?usp=share_link"",""พิษณุโลก!n269"")+IMPORTRANGE(""https://docs.google."&amp;"com/spreadsheets/d/1GfgTldLG6k77HXaMQzaafODklYuucJZQNs_GAPEfZyY/edit?usp=share_link"",""เพชรบูรณ์!n269"")+IMPORTRANGE(""https://docs.google.com/spreadsheets/d/1gvTMYAnm7v1yG1BKWFtr0DnaTsq59oW9dwWvFgq6hs0/edit?usp=share_link"",""แพร่!n269"")+IMPORTRANGE("""&amp;"https://docs.google.com/spreadsheets/d/1Wbcosgy-Xa1xXUArJSOenub6EfZHUSzc_bpJFWwQUf0/edit?usp=share_link"",""แม่ฮ่องสอน!n269"")+IMPORTRANGE(""https://docs.google.com/spreadsheets/d/1p7ERhsr0qZeSn-KSOdeHS9r0heI-lHtkcn2OH7hP0jQ/edit?usp=share_link"",""ลำปาง!"&amp;"n269"")+IMPORTRANGE(""https://docs.google.com/spreadsheets/d/1-uUXvimVhiU2U0bMN-xi2te0tS4X7DI2GLPnMjzl8cA/edit?usp=share_link"",""ลำพูน!n269"")+IMPORTRANGE(""https://docs.google.com/spreadsheets/d/17HrOaa5pBUI1onckFfumXB8xlg35qb2uBAFfF1D-Myo/edit?usp=shar"&amp;"e_link"",""สุโขทัย!n269"")+IMPORTRANGE(""https://docs.google.com/spreadsheets/d/1ubs5cl16eYL9gHbdHTJtmtYb9MGzHBs7CAphn8kNCgM/edit?usp=share_link"",""อุตรดิตถ์!n269"")+IMPORTRANGE(""https://docs.google.com/spreadsheets/d/1kII0BjS6CtVrBvI8IrytgPdxDrlyQDyigz"&amp;"MsohRtDMs/edit?usp=share_link"",""อุทัยธานี!n269"")
"),0)</f>
        <v>0</v>
      </c>
      <c r="O269" s="45">
        <f t="shared" ca="1" si="140"/>
        <v>0</v>
      </c>
      <c r="P269" s="45">
        <f t="shared" ca="1" si="141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178"/>
      <c r="F271" s="269"/>
      <c r="G271" s="179"/>
      <c r="H271" s="346" t="s">
        <v>35</v>
      </c>
      <c r="I271" s="37">
        <f ca="1">IFERROR(__xludf.DUMMYFUNCTION("IMPORTRANGE(""https://docs.google.com/spreadsheets/d/1KxicF4apzSqm0-jIpmueT4kyZtE-Cwn5zskl7GD4loQ/edit?usp=share_link"",""กำแพงเพชร!I271"")+IMPORTRANGE(""https://docs.google.com/spreadsheets/d/1ZNYWeiFoFA1K1U4xKWqRX29MBvEyRHXORjo734Gnq_c/edit?usp=share_li"&amp;"nk"",""เชียงราย!I271"")
+IMPORTRANGE(""https://docs.google.com/spreadsheets/d/1Jgv0Y7YlHDtsiDawwp-uvifEJ8HVaSn0k2aGHG8-hwM/edit?usp=share_link"",""เชียงใหม่!I271"")+IMPORTRANGE(""https://docs.google.com/spreadsheets/d/1JWG2rZePOz9pe-f-ObA-yDr0VoOX2kSb0qIi"&amp;"x2mTUo8/edit?usp=share_link"",""ตาก!I271"")+IMPORTRANGE(""https://docs.google.com/spreadsheets/d/10nSRjK08hx8Y6HgSOQKNw81lyY46Zc7U_Cj72hBMp9U/edit?usp=share_link"",""นครสวรรค์!I271"")+IMPORTRANGE(""https://docs.google.com/spreadsheets/d/1gFVb7qd7amutrIxAA"&amp;"oM7lcy35hllxznovot8lyOfvDo/edit?usp=share_link"",""น่าน!I271"")+IMPORTRANGE(""https://docs.google.com/spreadsheets/d/1K0Aa9s-6EuHE5M0FG1F9aHLXRCOV917xvycTdLdct0w/edit?usp=share_link"",""พะเยา!I271"")+IMPORTRANGE(""https://docs.google.com/spreadsheets/d/1Y"&amp;"9LPKx95PyL5OKy09d-KbKJSuuEZCFdkhYjwC0XQjBA/edit?usp=share_link"",""พิจิตร!I271"")+IMPORTRANGE(""https://docs.google.com/spreadsheets/d/16OMuOwy2eVqZcYWOouQtTpa8X1L23h4660uVHc0C8os/edit?usp=share_link"",""พิษณุโลก!I271"")+IMPORTRANGE(""https://docs.google."&amp;"com/spreadsheets/d/1GfgTldLG6k77HXaMQzaafODklYuucJZQNs_GAPEfZyY/edit?usp=share_link"",""เพชรบูรณ์!I271"")+IMPORTRANGE(""https://docs.google.com/spreadsheets/d/1gvTMYAnm7v1yG1BKWFtr0DnaTsq59oW9dwWvFgq6hs0/edit?usp=share_link"",""แพร่!I271"")+IMPORTRANGE("""&amp;"https://docs.google.com/spreadsheets/d/1Wbcosgy-Xa1xXUArJSOenub6EfZHUSzc_bpJFWwQUf0/edit?usp=share_link"",""แม่ฮ่องสอน!I271"")+IMPORTRANGE(""https://docs.google.com/spreadsheets/d/1p7ERhsr0qZeSn-KSOdeHS9r0heI-lHtkcn2OH7hP0jQ/edit?usp=share_link"",""ลำปาง!"&amp;"I271"")+IMPORTRANGE(""https://docs.google.com/spreadsheets/d/1-uUXvimVhiU2U0bMN-xi2te0tS4X7DI2GLPnMjzl8cA/edit?usp=share_link"",""ลำพูน!I271"")+IMPORTRANGE(""https://docs.google.com/spreadsheets/d/17HrOaa5pBUI1onckFfumXB8xlg35qb2uBAFfF1D-Myo/edit?usp=shar"&amp;"e_link"",""สุโขทัย!I271"")+IMPORTRANGE(""https://docs.google.com/spreadsheets/d/1ubs5cl16eYL9gHbdHTJtmtYb9MGzHBs7CAphn8kNCgM/edit?usp=share_link"",""อุตรดิตถ์!I271"")+IMPORTRANGE(""https://docs.google.com/spreadsheets/d/1kII0BjS6CtVrBvI8IrytgPdxDrlyQDyigz"&amp;"MsohRtDMs/edit?usp=share_link"",""อุทัยธานี!I271"")
"),396)</f>
        <v>396</v>
      </c>
      <c r="J271" s="183">
        <f ca="1">IFERROR(__xludf.DUMMYFUNCTION("IMPORTRANGE(""https://docs.google.com/spreadsheets/d/1KxicF4apzSqm0-jIpmueT4kyZtE-Cwn5zskl7GD4loQ/edit?usp=share_link"",""กำแพงเพชร!J271"")+IMPORTRANGE(""https://docs.google.com/spreadsheets/d/1ZNYWeiFoFA1K1U4xKWqRX29MBvEyRHXORjo734Gnq_c/edit?usp=share_li"&amp;"nk"",""เชียงราย!J271"")
+IMPORTRANGE(""https://docs.google.com/spreadsheets/d/1Jgv0Y7YlHDtsiDawwp-uvifEJ8HVaSn0k2aGHG8-hwM/edit?usp=share_link"",""เชียงใหม่!J271"")+IMPORTRANGE(""https://docs.google.com/spreadsheets/d/1JWG2rZePOz9pe-f-ObA-yDr0VoOX2kSb0qIi"&amp;"x2mTUo8/edit?usp=share_link"",""ตาก!J271"")+IMPORTRANGE(""https://docs.google.com/spreadsheets/d/10nSRjK08hx8Y6HgSOQKNw81lyY46Zc7U_Cj72hBMp9U/edit?usp=share_link"",""นครสวรรค์!J271"")+IMPORTRANGE(""https://docs.google.com/spreadsheets/d/1gFVb7qd7amutrIxAA"&amp;"oM7lcy35hllxznovot8lyOfvDo/edit?usp=share_link"",""น่าน!J271"")+IMPORTRANGE(""https://docs.google.com/spreadsheets/d/1K0Aa9s-6EuHE5M0FG1F9aHLXRCOV917xvycTdLdct0w/edit?usp=share_link"",""พะเยา!J271"")+IMPORTRANGE(""https://docs.google.com/spreadsheets/d/1Y"&amp;"9LPKx95PyL5OKy09d-KbKJSuuEZCFdkhYjwC0XQjBA/edit?usp=share_link"",""พิจิตร!J271"")+IMPORTRANGE(""https://docs.google.com/spreadsheets/d/16OMuOwy2eVqZcYWOouQtTpa8X1L23h4660uVHc0C8os/edit?usp=share_link"",""พิษณุโลก!J271"")+IMPORTRANGE(""https://docs.google."&amp;"com/spreadsheets/d/1GfgTldLG6k77HXaMQzaafODklYuucJZQNs_GAPEfZyY/edit?usp=share_link"",""เพชรบูรณ์!J271"")+IMPORTRANGE(""https://docs.google.com/spreadsheets/d/1gvTMYAnm7v1yG1BKWFtr0DnaTsq59oW9dwWvFgq6hs0/edit?usp=share_link"",""แพร่!J271"")+IMPORTRANGE("""&amp;"https://docs.google.com/spreadsheets/d/1Wbcosgy-Xa1xXUArJSOenub6EfZHUSzc_bpJFWwQUf0/edit?usp=share_link"",""แม่ฮ่องสอน!J271"")+IMPORTRANGE(""https://docs.google.com/spreadsheets/d/1p7ERhsr0qZeSn-KSOdeHS9r0heI-lHtkcn2OH7hP0jQ/edit?usp=share_link"",""ลำปาง!"&amp;"J271"")+IMPORTRANGE(""https://docs.google.com/spreadsheets/d/1-uUXvimVhiU2U0bMN-xi2te0tS4X7DI2GLPnMjzl8cA/edit?usp=share_link"",""ลำพูน!J271"")+IMPORTRANGE(""https://docs.google.com/spreadsheets/d/17HrOaa5pBUI1onckFfumXB8xlg35qb2uBAFfF1D-Myo/edit?usp=shar"&amp;"e_link"",""สุโขทัย!J271"")+IMPORTRANGE(""https://docs.google.com/spreadsheets/d/1ubs5cl16eYL9gHbdHTJtmtYb9MGzHBs7CAphn8kNCgM/edit?usp=share_link"",""อุตรดิตถ์!J271"")+IMPORTRANGE(""https://docs.google.com/spreadsheets/d/1kII0BjS6CtVrBvI8IrytgPdxDrlyQDyigz"&amp;"MsohRtDMs/edit?usp=share_link"",""อุทัยธานี!J271"")
"),354)</f>
        <v>354</v>
      </c>
      <c r="K271" s="163">
        <f ca="1">IF(I271&gt;0,J271*100/I271,0)</f>
        <v>89.393939393939391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352">
        <v>0</v>
      </c>
      <c r="J272" s="352">
        <v>0</v>
      </c>
      <c r="K272" s="353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0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46">I288</f>
        <v>395</v>
      </c>
      <c r="J275" s="375">
        <f t="shared" ca="1" si="146"/>
        <v>20</v>
      </c>
      <c r="K275" s="376">
        <f t="shared" ref="K275:K276" ca="1" si="147">IF(I275&gt;0,J275*100/I275,0)</f>
        <v>5.0632911392405067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48">I287</f>
        <v>3950</v>
      </c>
      <c r="J276" s="375">
        <f t="shared" ca="1" si="148"/>
        <v>2113</v>
      </c>
      <c r="K276" s="376">
        <f t="shared" ca="1" si="147"/>
        <v>53.493670886075947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9">L278+L279</f>
        <v>2886050</v>
      </c>
      <c r="M277" s="155">
        <f t="shared" ca="1" si="149"/>
        <v>2196800</v>
      </c>
      <c r="N277" s="155">
        <f t="shared" ca="1" si="149"/>
        <v>1067310.6000000001</v>
      </c>
      <c r="O277" s="155">
        <f t="shared" ref="O277:O285" ca="1" si="150">IF(L277&gt;0,N277*100/L277,0)</f>
        <v>36.981708563607704</v>
      </c>
      <c r="P277" s="155">
        <f t="shared" ref="P277:P285" ca="1" si="151">IF(M277&gt;0,N277*100/M277,0)</f>
        <v>48.58478696285507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2">L281+L284</f>
        <v>0</v>
      </c>
      <c r="M278" s="45">
        <f t="shared" si="152"/>
        <v>0</v>
      </c>
      <c r="N278" s="45">
        <f t="shared" si="152"/>
        <v>0</v>
      </c>
      <c r="O278" s="45">
        <f t="shared" si="150"/>
        <v>0</v>
      </c>
      <c r="P278" s="45">
        <f t="shared" si="151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3">L282+L285</f>
        <v>2886050</v>
      </c>
      <c r="M279" s="45">
        <f t="shared" ca="1" si="153"/>
        <v>2196800</v>
      </c>
      <c r="N279" s="45">
        <f t="shared" ca="1" si="153"/>
        <v>1067310.6000000001</v>
      </c>
      <c r="O279" s="45">
        <f t="shared" ca="1" si="150"/>
        <v>36.981708563607704</v>
      </c>
      <c r="P279" s="45">
        <f t="shared" ca="1" si="151"/>
        <v>48.58478696285507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4">L281+L282</f>
        <v>2886050</v>
      </c>
      <c r="M280" s="38">
        <f t="shared" ca="1" si="154"/>
        <v>2196800</v>
      </c>
      <c r="N280" s="38">
        <f t="shared" ca="1" si="154"/>
        <v>1067310.6000000001</v>
      </c>
      <c r="O280" s="38">
        <f t="shared" ca="1" si="150"/>
        <v>36.981708563607704</v>
      </c>
      <c r="P280" s="38">
        <f t="shared" ca="1" si="151"/>
        <v>48.58478696285507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50"/>
        <v>0</v>
      </c>
      <c r="P281" s="45">
        <f t="shared" si="151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xicF4apzSqm0-jIpmueT4kyZtE-Cwn5zskl7GD4loQ/edit?usp=share_link"",""กำแพงเพชร!l282"")+IMPORTRANGE(""https://docs.google.com/spreadsheets/d/1ZNYWeiFoFA1K1U4xKWqRX29MBvEyRHXORjo734Gnq_c/edit?usp=share_li"&amp;"nk"",""เชียงราย!l282"")
+IMPORTRANGE(""https://docs.google.com/spreadsheets/d/1Jgv0Y7YlHDtsiDawwp-uvifEJ8HVaSn0k2aGHG8-hwM/edit?usp=share_link"",""เชียงใหม่!l282"")+IMPORTRANGE(""https://docs.google.com/spreadsheets/d/1JWG2rZePOz9pe-f-ObA-yDr0VoOX2kSb0qIi"&amp;"x2mTUo8/edit?usp=share_link"",""ตาก!l282"")+IMPORTRANGE(""https://docs.google.com/spreadsheets/d/10nSRjK08hx8Y6HgSOQKNw81lyY46Zc7U_Cj72hBMp9U/edit?usp=share_link"",""นครสวรรค์!l282"")+IMPORTRANGE(""https://docs.google.com/spreadsheets/d/1gFVb7qd7amutrIxAA"&amp;"oM7lcy35hllxznovot8lyOfvDo/edit?usp=share_link"",""น่าน!l282"")+IMPORTRANGE(""https://docs.google.com/spreadsheets/d/1K0Aa9s-6EuHE5M0FG1F9aHLXRCOV917xvycTdLdct0w/edit?usp=share_link"",""พะเยา!l282"")+IMPORTRANGE(""https://docs.google.com/spreadsheets/d/1Y"&amp;"9LPKx95PyL5OKy09d-KbKJSuuEZCFdkhYjwC0XQjBA/edit?usp=share_link"",""พิจิตร!l282"")+IMPORTRANGE(""https://docs.google.com/spreadsheets/d/16OMuOwy2eVqZcYWOouQtTpa8X1L23h4660uVHc0C8os/edit?usp=share_link"",""พิษณุโลก!l282"")+IMPORTRANGE(""https://docs.google."&amp;"com/spreadsheets/d/1GfgTldLG6k77HXaMQzaafODklYuucJZQNs_GAPEfZyY/edit?usp=share_link"",""เพชรบูรณ์!l282"")+IMPORTRANGE(""https://docs.google.com/spreadsheets/d/1gvTMYAnm7v1yG1BKWFtr0DnaTsq59oW9dwWvFgq6hs0/edit?usp=share_link"",""แพร่!l282"")+IMPORTRANGE("""&amp;"https://docs.google.com/spreadsheets/d/1Wbcosgy-Xa1xXUArJSOenub6EfZHUSzc_bpJFWwQUf0/edit?usp=share_link"",""แม่ฮ่องสอน!l282"")+IMPORTRANGE(""https://docs.google.com/spreadsheets/d/1p7ERhsr0qZeSn-KSOdeHS9r0heI-lHtkcn2OH7hP0jQ/edit?usp=share_link"",""ลำปาง!"&amp;"l282"")+IMPORTRANGE(""https://docs.google.com/spreadsheets/d/1-uUXvimVhiU2U0bMN-xi2te0tS4X7DI2GLPnMjzl8cA/edit?usp=share_link"",""ลำพูน!l282"")+IMPORTRANGE(""https://docs.google.com/spreadsheets/d/17HrOaa5pBUI1onckFfumXB8xlg35qb2uBAFfF1D-Myo/edit?usp=shar"&amp;"e_link"",""สุโขทัย!l282"")+IMPORTRANGE(""https://docs.google.com/spreadsheets/d/1ubs5cl16eYL9gHbdHTJtmtYb9MGzHBs7CAphn8kNCgM/edit?usp=share_link"",""อุตรดิตถ์!l282"")+IMPORTRANGE(""https://docs.google.com/spreadsheets/d/1kII0BjS6CtVrBvI8IrytgPdxDrlyQDyigz"&amp;"MsohRtDMs/edit?usp=share_link"",""อุทัยธานี!l282"")
"),2886050)</f>
        <v>2886050</v>
      </c>
      <c r="M282" s="45">
        <f ca="1">IFERROR(__xludf.DUMMYFUNCTION("IMPORTRANGE(""https://docs.google.com/spreadsheets/d/1KxicF4apzSqm0-jIpmueT4kyZtE-Cwn5zskl7GD4loQ/edit?usp=share_link"",""กำแพงเพชร!m282"")+IMPORTRANGE(""https://docs.google.com/spreadsheets/d/1ZNYWeiFoFA1K1U4xKWqRX29MBvEyRHXORjo734Gnq_c/edit?usp=share_li"&amp;"nk"",""เชียงราย!m282"")
+IMPORTRANGE(""https://docs.google.com/spreadsheets/d/1Jgv0Y7YlHDtsiDawwp-uvifEJ8HVaSn0k2aGHG8-hwM/edit?usp=share_link"",""เชียงใหม่!m282"")+IMPORTRANGE(""https://docs.google.com/spreadsheets/d/1JWG2rZePOz9pe-f-ObA-yDr0VoOX2kSb0qIi"&amp;"x2mTUo8/edit?usp=share_link"",""ตาก!m282"")+IMPORTRANGE(""https://docs.google.com/spreadsheets/d/10nSRjK08hx8Y6HgSOQKNw81lyY46Zc7U_Cj72hBMp9U/edit?usp=share_link"",""นครสวรรค์!m282"")+IMPORTRANGE(""https://docs.google.com/spreadsheets/d/1gFVb7qd7amutrIxAA"&amp;"oM7lcy35hllxznovot8lyOfvDo/edit?usp=share_link"",""น่าน!m282"")+IMPORTRANGE(""https://docs.google.com/spreadsheets/d/1K0Aa9s-6EuHE5M0FG1F9aHLXRCOV917xvycTdLdct0w/edit?usp=share_link"",""พะเยา!m282"")+IMPORTRANGE(""https://docs.google.com/spreadsheets/d/1Y"&amp;"9LPKx95PyL5OKy09d-KbKJSuuEZCFdkhYjwC0XQjBA/edit?usp=share_link"",""พิจิตร!m282"")+IMPORTRANGE(""https://docs.google.com/spreadsheets/d/16OMuOwy2eVqZcYWOouQtTpa8X1L23h4660uVHc0C8os/edit?usp=share_link"",""พิษณุโลก!m282"")+IMPORTRANGE(""https://docs.google."&amp;"com/spreadsheets/d/1GfgTldLG6k77HXaMQzaafODklYuucJZQNs_GAPEfZyY/edit?usp=share_link"",""เพชรบูรณ์!m282"")+IMPORTRANGE(""https://docs.google.com/spreadsheets/d/1gvTMYAnm7v1yG1BKWFtr0DnaTsq59oW9dwWvFgq6hs0/edit?usp=share_link"",""แพร่!m282"")+IMPORTRANGE("""&amp;"https://docs.google.com/spreadsheets/d/1Wbcosgy-Xa1xXUArJSOenub6EfZHUSzc_bpJFWwQUf0/edit?usp=share_link"",""แม่ฮ่องสอน!m282"")+IMPORTRANGE(""https://docs.google.com/spreadsheets/d/1p7ERhsr0qZeSn-KSOdeHS9r0heI-lHtkcn2OH7hP0jQ/edit?usp=share_link"",""ลำปาง!"&amp;"m282"")+IMPORTRANGE(""https://docs.google.com/spreadsheets/d/1-uUXvimVhiU2U0bMN-xi2te0tS4X7DI2GLPnMjzl8cA/edit?usp=share_link"",""ลำพูน!m282"")+IMPORTRANGE(""https://docs.google.com/spreadsheets/d/17HrOaa5pBUI1onckFfumXB8xlg35qb2uBAFfF1D-Myo/edit?usp=shar"&amp;"e_link"",""สุโขทัย!m282"")+IMPORTRANGE(""https://docs.google.com/spreadsheets/d/1ubs5cl16eYL9gHbdHTJtmtYb9MGzHBs7CAphn8kNCgM/edit?usp=share_link"",""อุตรดิตถ์!m282"")+IMPORTRANGE(""https://docs.google.com/spreadsheets/d/1kII0BjS6CtVrBvI8IrytgPdxDrlyQDyigz"&amp;"MsohRtDMs/edit?usp=share_link"",""อุทัยธานี!m282"")
"),2196800)</f>
        <v>2196800</v>
      </c>
      <c r="N282" s="45">
        <f ca="1">IFERROR(__xludf.DUMMYFUNCTION("IMPORTRANGE(""https://docs.google.com/spreadsheets/d/1KxicF4apzSqm0-jIpmueT4kyZtE-Cwn5zskl7GD4loQ/edit?usp=share_link"",""กำแพงเพชร!n282"")+IMPORTRANGE(""https://docs.google.com/spreadsheets/d/1ZNYWeiFoFA1K1U4xKWqRX29MBvEyRHXORjo734Gnq_c/edit?usp=share_li"&amp;"nk"",""เชียงราย!n282"")
+IMPORTRANGE(""https://docs.google.com/spreadsheets/d/1Jgv0Y7YlHDtsiDawwp-uvifEJ8HVaSn0k2aGHG8-hwM/edit?usp=share_link"",""เชียงใหม่!n282"")+IMPORTRANGE(""https://docs.google.com/spreadsheets/d/1JWG2rZePOz9pe-f-ObA-yDr0VoOX2kSb0qIi"&amp;"x2mTUo8/edit?usp=share_link"",""ตาก!n282"")+IMPORTRANGE(""https://docs.google.com/spreadsheets/d/10nSRjK08hx8Y6HgSOQKNw81lyY46Zc7U_Cj72hBMp9U/edit?usp=share_link"",""นครสวรรค์!n282"")+IMPORTRANGE(""https://docs.google.com/spreadsheets/d/1gFVb7qd7amutrIxAA"&amp;"oM7lcy35hllxznovot8lyOfvDo/edit?usp=share_link"",""น่าน!n282"")+IMPORTRANGE(""https://docs.google.com/spreadsheets/d/1K0Aa9s-6EuHE5M0FG1F9aHLXRCOV917xvycTdLdct0w/edit?usp=share_link"",""พะเยา!n282"")+IMPORTRANGE(""https://docs.google.com/spreadsheets/d/1Y"&amp;"9LPKx95PyL5OKy09d-KbKJSuuEZCFdkhYjwC0XQjBA/edit?usp=share_link"",""พิจิตร!n282"")+IMPORTRANGE(""https://docs.google.com/spreadsheets/d/16OMuOwy2eVqZcYWOouQtTpa8X1L23h4660uVHc0C8os/edit?usp=share_link"",""พิษณุโลก!n282"")+IMPORTRANGE(""https://docs.google."&amp;"com/spreadsheets/d/1GfgTldLG6k77HXaMQzaafODklYuucJZQNs_GAPEfZyY/edit?usp=share_link"",""เพชรบูรณ์!n282"")+IMPORTRANGE(""https://docs.google.com/spreadsheets/d/1gvTMYAnm7v1yG1BKWFtr0DnaTsq59oW9dwWvFgq6hs0/edit?usp=share_link"",""แพร่!n282"")+IMPORTRANGE("""&amp;"https://docs.google.com/spreadsheets/d/1Wbcosgy-Xa1xXUArJSOenub6EfZHUSzc_bpJFWwQUf0/edit?usp=share_link"",""แม่ฮ่องสอน!n282"")+IMPORTRANGE(""https://docs.google.com/spreadsheets/d/1p7ERhsr0qZeSn-KSOdeHS9r0heI-lHtkcn2OH7hP0jQ/edit?usp=share_link"",""ลำปาง!"&amp;"n282"")+IMPORTRANGE(""https://docs.google.com/spreadsheets/d/1-uUXvimVhiU2U0bMN-xi2te0tS4X7DI2GLPnMjzl8cA/edit?usp=share_link"",""ลำพูน!n282"")+IMPORTRANGE(""https://docs.google.com/spreadsheets/d/17HrOaa5pBUI1onckFfumXB8xlg35qb2uBAFfF1D-Myo/edit?usp=shar"&amp;"e_link"",""สุโขทัย!n282"")+IMPORTRANGE(""https://docs.google.com/spreadsheets/d/1ubs5cl16eYL9gHbdHTJtmtYb9MGzHBs7CAphn8kNCgM/edit?usp=share_link"",""อุตรดิตถ์!n282"")+IMPORTRANGE(""https://docs.google.com/spreadsheets/d/1kII0BjS6CtVrBvI8IrytgPdxDrlyQDyigz"&amp;"MsohRtDMs/edit?usp=share_link"",""อุทัยธานี!n282"")
"),1067310.6)</f>
        <v>1067310.6000000001</v>
      </c>
      <c r="O282" s="45">
        <f t="shared" ca="1" si="150"/>
        <v>36.981708563607704</v>
      </c>
      <c r="P282" s="45">
        <f t="shared" ca="1" si="151"/>
        <v>48.58478696285507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5">L284+L285</f>
        <v>0</v>
      </c>
      <c r="M283" s="38">
        <f t="shared" ca="1" si="155"/>
        <v>0</v>
      </c>
      <c r="N283" s="38">
        <f t="shared" ca="1" si="155"/>
        <v>0</v>
      </c>
      <c r="O283" s="38">
        <f t="shared" ca="1" si="150"/>
        <v>0</v>
      </c>
      <c r="P283" s="38">
        <f t="shared" ca="1" si="151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50"/>
        <v>0</v>
      </c>
      <c r="P284" s="45">
        <f t="shared" si="151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xicF4apzSqm0-jIpmueT4kyZtE-Cwn5zskl7GD4loQ/edit?usp=share_link"",""กำแพงเพชร!l285"")+IMPORTRANGE(""https://docs.google.com/spreadsheets/d/1ZNYWeiFoFA1K1U4xKWqRX29MBvEyRHXORjo734Gnq_c/edit?usp=share_li"&amp;"nk"",""เชียงราย!l285"")
+IMPORTRANGE(""https://docs.google.com/spreadsheets/d/1Jgv0Y7YlHDtsiDawwp-uvifEJ8HVaSn0k2aGHG8-hwM/edit?usp=share_link"",""เชียงใหม่!l285"")+IMPORTRANGE(""https://docs.google.com/spreadsheets/d/1JWG2rZePOz9pe-f-ObA-yDr0VoOX2kSb0qIi"&amp;"x2mTUo8/edit?usp=share_link"",""ตาก!l285"")+IMPORTRANGE(""https://docs.google.com/spreadsheets/d/10nSRjK08hx8Y6HgSOQKNw81lyY46Zc7U_Cj72hBMp9U/edit?usp=share_link"",""นครสวรรค์!l285"")+IMPORTRANGE(""https://docs.google.com/spreadsheets/d/1gFVb7qd7amutrIxAA"&amp;"oM7lcy35hllxznovot8lyOfvDo/edit?usp=share_link"",""น่าน!l285"")+IMPORTRANGE(""https://docs.google.com/spreadsheets/d/1K0Aa9s-6EuHE5M0FG1F9aHLXRCOV917xvycTdLdct0w/edit?usp=share_link"",""พะเยา!l285"")+IMPORTRANGE(""https://docs.google.com/spreadsheets/d/1Y"&amp;"9LPKx95PyL5OKy09d-KbKJSuuEZCFdkhYjwC0XQjBA/edit?usp=share_link"",""พิจิตร!l285"")+IMPORTRANGE(""https://docs.google.com/spreadsheets/d/16OMuOwy2eVqZcYWOouQtTpa8X1L23h4660uVHc0C8os/edit?usp=share_link"",""พิษณุโลก!l285"")+IMPORTRANGE(""https://docs.google."&amp;"com/spreadsheets/d/1GfgTldLG6k77HXaMQzaafODklYuucJZQNs_GAPEfZyY/edit?usp=share_link"",""เพชรบูรณ์!l285"")+IMPORTRANGE(""https://docs.google.com/spreadsheets/d/1gvTMYAnm7v1yG1BKWFtr0DnaTsq59oW9dwWvFgq6hs0/edit?usp=share_link"",""แพร่!l285"")+IMPORTRANGE("""&amp;"https://docs.google.com/spreadsheets/d/1Wbcosgy-Xa1xXUArJSOenub6EfZHUSzc_bpJFWwQUf0/edit?usp=share_link"",""แม่ฮ่องสอน!l285"")+IMPORTRANGE(""https://docs.google.com/spreadsheets/d/1p7ERhsr0qZeSn-KSOdeHS9r0heI-lHtkcn2OH7hP0jQ/edit?usp=share_link"",""ลำปาง!"&amp;"l285"")+IMPORTRANGE(""https://docs.google.com/spreadsheets/d/1-uUXvimVhiU2U0bMN-xi2te0tS4X7DI2GLPnMjzl8cA/edit?usp=share_link"",""ลำพูน!l285"")+IMPORTRANGE(""https://docs.google.com/spreadsheets/d/17HrOaa5pBUI1onckFfumXB8xlg35qb2uBAFfF1D-Myo/edit?usp=shar"&amp;"e_link"",""สุโขทัย!l285"")+IMPORTRANGE(""https://docs.google.com/spreadsheets/d/1ubs5cl16eYL9gHbdHTJtmtYb9MGzHBs7CAphn8kNCgM/edit?usp=share_link"",""อุตรดิตถ์!l285"")+IMPORTRANGE(""https://docs.google.com/spreadsheets/d/1kII0BjS6CtVrBvI8IrytgPdxDrlyQDyigz"&amp;"MsohRtDMs/edit?usp=share_link"",""อุทัยธานี!l285"")
"),0)</f>
        <v>0</v>
      </c>
      <c r="M285" s="45">
        <f ca="1">IFERROR(__xludf.DUMMYFUNCTION("IMPORTRANGE(""https://docs.google.com/spreadsheets/d/1KxicF4apzSqm0-jIpmueT4kyZtE-Cwn5zskl7GD4loQ/edit?usp=share_link"",""กำแพงเพชร!m285"")+IMPORTRANGE(""https://docs.google.com/spreadsheets/d/1ZNYWeiFoFA1K1U4xKWqRX29MBvEyRHXORjo734Gnq_c/edit?usp=share_li"&amp;"nk"",""เชียงราย!m285"")
+IMPORTRANGE(""https://docs.google.com/spreadsheets/d/1Jgv0Y7YlHDtsiDawwp-uvifEJ8HVaSn0k2aGHG8-hwM/edit?usp=share_link"",""เชียงใหม่!m285"")+IMPORTRANGE(""https://docs.google.com/spreadsheets/d/1JWG2rZePOz9pe-f-ObA-yDr0VoOX2kSb0qIi"&amp;"x2mTUo8/edit?usp=share_link"",""ตาก!m285"")+IMPORTRANGE(""https://docs.google.com/spreadsheets/d/10nSRjK08hx8Y6HgSOQKNw81lyY46Zc7U_Cj72hBMp9U/edit?usp=share_link"",""นครสวรรค์!m285"")+IMPORTRANGE(""https://docs.google.com/spreadsheets/d/1gFVb7qd7amutrIxAA"&amp;"oM7lcy35hllxznovot8lyOfvDo/edit?usp=share_link"",""น่าน!m285"")+IMPORTRANGE(""https://docs.google.com/spreadsheets/d/1K0Aa9s-6EuHE5M0FG1F9aHLXRCOV917xvycTdLdct0w/edit?usp=share_link"",""พะเยา!m285"")+IMPORTRANGE(""https://docs.google.com/spreadsheets/d/1Y"&amp;"9LPKx95PyL5OKy09d-KbKJSuuEZCFdkhYjwC0XQjBA/edit?usp=share_link"",""พิจิตร!m285"")+IMPORTRANGE(""https://docs.google.com/spreadsheets/d/16OMuOwy2eVqZcYWOouQtTpa8X1L23h4660uVHc0C8os/edit?usp=share_link"",""พิษณุโลก!m285"")+IMPORTRANGE(""https://docs.google."&amp;"com/spreadsheets/d/1GfgTldLG6k77HXaMQzaafODklYuucJZQNs_GAPEfZyY/edit?usp=share_link"",""เพชรบูรณ์!m285"")+IMPORTRANGE(""https://docs.google.com/spreadsheets/d/1gvTMYAnm7v1yG1BKWFtr0DnaTsq59oW9dwWvFgq6hs0/edit?usp=share_link"",""แพร่!m285"")+IMPORTRANGE("""&amp;"https://docs.google.com/spreadsheets/d/1Wbcosgy-Xa1xXUArJSOenub6EfZHUSzc_bpJFWwQUf0/edit?usp=share_link"",""แม่ฮ่องสอน!m285"")+IMPORTRANGE(""https://docs.google.com/spreadsheets/d/1p7ERhsr0qZeSn-KSOdeHS9r0heI-lHtkcn2OH7hP0jQ/edit?usp=share_link"",""ลำปาง!"&amp;"m285"")+IMPORTRANGE(""https://docs.google.com/spreadsheets/d/1-uUXvimVhiU2U0bMN-xi2te0tS4X7DI2GLPnMjzl8cA/edit?usp=share_link"",""ลำพูน!m285"")+IMPORTRANGE(""https://docs.google.com/spreadsheets/d/17HrOaa5pBUI1onckFfumXB8xlg35qb2uBAFfF1D-Myo/edit?usp=shar"&amp;"e_link"",""สุโขทัย!m285"")+IMPORTRANGE(""https://docs.google.com/spreadsheets/d/1ubs5cl16eYL9gHbdHTJtmtYb9MGzHBs7CAphn8kNCgM/edit?usp=share_link"",""อุตรดิตถ์!m285"")+IMPORTRANGE(""https://docs.google.com/spreadsheets/d/1kII0BjS6CtVrBvI8IrytgPdxDrlyQDyigz"&amp;"MsohRtDMs/edit?usp=share_link"",""อุทัยธานี!m285"")
"),0)</f>
        <v>0</v>
      </c>
      <c r="N285" s="45">
        <f ca="1">IFERROR(__xludf.DUMMYFUNCTION("IMPORTRANGE(""https://docs.google.com/spreadsheets/d/1KxicF4apzSqm0-jIpmueT4kyZtE-Cwn5zskl7GD4loQ/edit?usp=share_link"",""กำแพงเพชร!n285"")+IMPORTRANGE(""https://docs.google.com/spreadsheets/d/1ZNYWeiFoFA1K1U4xKWqRX29MBvEyRHXORjo734Gnq_c/edit?usp=share_li"&amp;"nk"",""เชียงราย!n285"")
+IMPORTRANGE(""https://docs.google.com/spreadsheets/d/1Jgv0Y7YlHDtsiDawwp-uvifEJ8HVaSn0k2aGHG8-hwM/edit?usp=share_link"",""เชียงใหม่!n285"")+IMPORTRANGE(""https://docs.google.com/spreadsheets/d/1JWG2rZePOz9pe-f-ObA-yDr0VoOX2kSb0qIi"&amp;"x2mTUo8/edit?usp=share_link"",""ตาก!n285"")+IMPORTRANGE(""https://docs.google.com/spreadsheets/d/10nSRjK08hx8Y6HgSOQKNw81lyY46Zc7U_Cj72hBMp9U/edit?usp=share_link"",""นครสวรรค์!n285"")+IMPORTRANGE(""https://docs.google.com/spreadsheets/d/1gFVb7qd7amutrIxAA"&amp;"oM7lcy35hllxznovot8lyOfvDo/edit?usp=share_link"",""น่าน!n285"")+IMPORTRANGE(""https://docs.google.com/spreadsheets/d/1K0Aa9s-6EuHE5M0FG1F9aHLXRCOV917xvycTdLdct0w/edit?usp=share_link"",""พะเยา!n285"")+IMPORTRANGE(""https://docs.google.com/spreadsheets/d/1Y"&amp;"9LPKx95PyL5OKy09d-KbKJSuuEZCFdkhYjwC0XQjBA/edit?usp=share_link"",""พิจิตร!n285"")+IMPORTRANGE(""https://docs.google.com/spreadsheets/d/16OMuOwy2eVqZcYWOouQtTpa8X1L23h4660uVHc0C8os/edit?usp=share_link"",""พิษณุโลก!n285"")+IMPORTRANGE(""https://docs.google."&amp;"com/spreadsheets/d/1GfgTldLG6k77HXaMQzaafODklYuucJZQNs_GAPEfZyY/edit?usp=share_link"",""เพชรบูรณ์!n285"")+IMPORTRANGE(""https://docs.google.com/spreadsheets/d/1gvTMYAnm7v1yG1BKWFtr0DnaTsq59oW9dwWvFgq6hs0/edit?usp=share_link"",""แพร่!n285"")+IMPORTRANGE("""&amp;"https://docs.google.com/spreadsheets/d/1Wbcosgy-Xa1xXUArJSOenub6EfZHUSzc_bpJFWwQUf0/edit?usp=share_link"",""แม่ฮ่องสอน!n285"")+IMPORTRANGE(""https://docs.google.com/spreadsheets/d/1p7ERhsr0qZeSn-KSOdeHS9r0heI-lHtkcn2OH7hP0jQ/edit?usp=share_link"",""ลำปาง!"&amp;"n285"")+IMPORTRANGE(""https://docs.google.com/spreadsheets/d/1-uUXvimVhiU2U0bMN-xi2te0tS4X7DI2GLPnMjzl8cA/edit?usp=share_link"",""ลำพูน!n285"")+IMPORTRANGE(""https://docs.google.com/spreadsheets/d/17HrOaa5pBUI1onckFfumXB8xlg35qb2uBAFfF1D-Myo/edit?usp=shar"&amp;"e_link"",""สุโขทัย!n285"")+IMPORTRANGE(""https://docs.google.com/spreadsheets/d/1ubs5cl16eYL9gHbdHTJtmtYb9MGzHBs7CAphn8kNCgM/edit?usp=share_link"",""อุตรดิตถ์!n285"")+IMPORTRANGE(""https://docs.google.com/spreadsheets/d/1kII0BjS6CtVrBvI8IrytgPdxDrlyQDyigz"&amp;"MsohRtDMs/edit?usp=share_link"",""อุทัยธานี!n285"")
"),0)</f>
        <v>0</v>
      </c>
      <c r="O285" s="45">
        <f t="shared" ca="1" si="150"/>
        <v>0</v>
      </c>
      <c r="P285" s="45">
        <f t="shared" ca="1" si="151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379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xicF4apzSqm0-jIpmueT4kyZtE-Cwn5zskl7GD4loQ/edit?usp=share_link"",""กำแพงเพชร!I287"")+IMPORTRANGE(""https://docs.google.com/spreadsheets/d/1ZNYWeiFoFA1K1U4xKWqRX29MBvEyRHXORjo734Gnq_c/edit?usp=share_li"&amp;"nk"",""เชียงราย!I287"")
+IMPORTRANGE(""https://docs.google.com/spreadsheets/d/1Jgv0Y7YlHDtsiDawwp-uvifEJ8HVaSn0k2aGHG8-hwM/edit?usp=share_link"",""เชียงใหม่!I287"")+IMPORTRANGE(""https://docs.google.com/spreadsheets/d/1JWG2rZePOz9pe-f-ObA-yDr0VoOX2kSb0qIi"&amp;"x2mTUo8/edit?usp=share_link"",""ตาก!I287"")+IMPORTRANGE(""https://docs.google.com/spreadsheets/d/10nSRjK08hx8Y6HgSOQKNw81lyY46Zc7U_Cj72hBMp9U/edit?usp=share_link"",""นครสวรรค์!I287"")+IMPORTRANGE(""https://docs.google.com/spreadsheets/d/1gFVb7qd7amutrIxAA"&amp;"oM7lcy35hllxznovot8lyOfvDo/edit?usp=share_link"",""น่าน!I287"")+IMPORTRANGE(""https://docs.google.com/spreadsheets/d/1K0Aa9s-6EuHE5M0FG1F9aHLXRCOV917xvycTdLdct0w/edit?usp=share_link"",""พะเยา!I287"")+IMPORTRANGE(""https://docs.google.com/spreadsheets/d/1Y"&amp;"9LPKx95PyL5OKy09d-KbKJSuuEZCFdkhYjwC0XQjBA/edit?usp=share_link"",""พิจิตร!I287"")+IMPORTRANGE(""https://docs.google.com/spreadsheets/d/16OMuOwy2eVqZcYWOouQtTpa8X1L23h4660uVHc0C8os/edit?usp=share_link"",""พิษณุโลก!I287"")+IMPORTRANGE(""https://docs.google."&amp;"com/spreadsheets/d/1GfgTldLG6k77HXaMQzaafODklYuucJZQNs_GAPEfZyY/edit?usp=share_link"",""เพชรบูรณ์!I287"")+IMPORTRANGE(""https://docs.google.com/spreadsheets/d/1gvTMYAnm7v1yG1BKWFtr0DnaTsq59oW9dwWvFgq6hs0/edit?usp=share_link"",""แพร่!I287"")+IMPORTRANGE("""&amp;"https://docs.google.com/spreadsheets/d/1Wbcosgy-Xa1xXUArJSOenub6EfZHUSzc_bpJFWwQUf0/edit?usp=share_link"",""แม่ฮ่องสอน!I287"")+IMPORTRANGE(""https://docs.google.com/spreadsheets/d/1p7ERhsr0qZeSn-KSOdeHS9r0heI-lHtkcn2OH7hP0jQ/edit?usp=share_link"",""ลำปาง!"&amp;"I287"")+IMPORTRANGE(""https://docs.google.com/spreadsheets/d/1-uUXvimVhiU2U0bMN-xi2te0tS4X7DI2GLPnMjzl8cA/edit?usp=share_link"",""ลำพูน!I287"")+IMPORTRANGE(""https://docs.google.com/spreadsheets/d/17HrOaa5pBUI1onckFfumXB8xlg35qb2uBAFfF1D-Myo/edit?usp=shar"&amp;"e_link"",""สุโขทัย!I287"")+IMPORTRANGE(""https://docs.google.com/spreadsheets/d/1ubs5cl16eYL9gHbdHTJtmtYb9MGzHBs7CAphn8kNCgM/edit?usp=share_link"",""อุตรดิตถ์!I287"")+IMPORTRANGE(""https://docs.google.com/spreadsheets/d/1kII0BjS6CtVrBvI8IrytgPdxDrlyQDyigz"&amp;"MsohRtDMs/edit?usp=share_link"",""อุทัยธานี!I287"")
"),3950)</f>
        <v>3950</v>
      </c>
      <c r="J287" s="183">
        <f ca="1">IFERROR(__xludf.DUMMYFUNCTION("IMPORTRANGE(""https://docs.google.com/spreadsheets/d/1KxicF4apzSqm0-jIpmueT4kyZtE-Cwn5zskl7GD4loQ/edit?usp=share_link"",""กำแพงเพชร!J287"")+IMPORTRANGE(""https://docs.google.com/spreadsheets/d/1ZNYWeiFoFA1K1U4xKWqRX29MBvEyRHXORjo734Gnq_c/edit?usp=share_li"&amp;"nk"",""เชียงราย!J287"")
+IMPORTRANGE(""https://docs.google.com/spreadsheets/d/1Jgv0Y7YlHDtsiDawwp-uvifEJ8HVaSn0k2aGHG8-hwM/edit?usp=share_link"",""เชียงใหม่!J287"")+IMPORTRANGE(""https://docs.google.com/spreadsheets/d/1JWG2rZePOz9pe-f-ObA-yDr0VoOX2kSb0qIi"&amp;"x2mTUo8/edit?usp=share_link"",""ตาก!J287"")+IMPORTRANGE(""https://docs.google.com/spreadsheets/d/10nSRjK08hx8Y6HgSOQKNw81lyY46Zc7U_Cj72hBMp9U/edit?usp=share_link"",""นครสวรรค์!J287"")+IMPORTRANGE(""https://docs.google.com/spreadsheets/d/1gFVb7qd7amutrIxAA"&amp;"oM7lcy35hllxznovot8lyOfvDo/edit?usp=share_link"",""น่าน!J287"")+IMPORTRANGE(""https://docs.google.com/spreadsheets/d/1K0Aa9s-6EuHE5M0FG1F9aHLXRCOV917xvycTdLdct0w/edit?usp=share_link"",""พะเยา!J287"")+IMPORTRANGE(""https://docs.google.com/spreadsheets/d/1Y"&amp;"9LPKx95PyL5OKy09d-KbKJSuuEZCFdkhYjwC0XQjBA/edit?usp=share_link"",""พิจิตร!J287"")+IMPORTRANGE(""https://docs.google.com/spreadsheets/d/16OMuOwy2eVqZcYWOouQtTpa8X1L23h4660uVHc0C8os/edit?usp=share_link"",""พิษณุโลก!J287"")+IMPORTRANGE(""https://docs.google."&amp;"com/spreadsheets/d/1GfgTldLG6k77HXaMQzaafODklYuucJZQNs_GAPEfZyY/edit?usp=share_link"",""เพชรบูรณ์!J287"")+IMPORTRANGE(""https://docs.google.com/spreadsheets/d/1gvTMYAnm7v1yG1BKWFtr0DnaTsq59oW9dwWvFgq6hs0/edit?usp=share_link"",""แพร่!J287"")+IMPORTRANGE("""&amp;"https://docs.google.com/spreadsheets/d/1Wbcosgy-Xa1xXUArJSOenub6EfZHUSzc_bpJFWwQUf0/edit?usp=share_link"",""แม่ฮ่องสอน!J287"")+IMPORTRANGE(""https://docs.google.com/spreadsheets/d/1p7ERhsr0qZeSn-KSOdeHS9r0heI-lHtkcn2OH7hP0jQ/edit?usp=share_link"",""ลำปาง!"&amp;"J287"")+IMPORTRANGE(""https://docs.google.com/spreadsheets/d/1-uUXvimVhiU2U0bMN-xi2te0tS4X7DI2GLPnMjzl8cA/edit?usp=share_link"",""ลำพูน!J287"")+IMPORTRANGE(""https://docs.google.com/spreadsheets/d/17HrOaa5pBUI1onckFfumXB8xlg35qb2uBAFfF1D-Myo/edit?usp=shar"&amp;"e_link"",""สุโขทัย!J287"")+IMPORTRANGE(""https://docs.google.com/spreadsheets/d/1ubs5cl16eYL9gHbdHTJtmtYb9MGzHBs7CAphn8kNCgM/edit?usp=share_link"",""อุตรดิตถ์!J287"")+IMPORTRANGE(""https://docs.google.com/spreadsheets/d/1kII0BjS6CtVrBvI8IrytgPdxDrlyQDyigz"&amp;"MsohRtDMs/edit?usp=share_link"",""อุทัยธานี!J287"")
"),2113)</f>
        <v>2113</v>
      </c>
      <c r="K287" s="163">
        <f t="shared" ref="K287:K288" ca="1" si="156">IF(I287&gt;0,J287*100/I287,0)</f>
        <v>53.493670886075947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379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xicF4apzSqm0-jIpmueT4kyZtE-Cwn5zskl7GD4loQ/edit?usp=share_link"",""กำแพงเพชร!I288"")+IMPORTRANGE(""https://docs.google.com/spreadsheets/d/1ZNYWeiFoFA1K1U4xKWqRX29MBvEyRHXORjo734Gnq_c/edit?usp=share_li"&amp;"nk"",""เชียงราย!I288"")
+IMPORTRANGE(""https://docs.google.com/spreadsheets/d/1Jgv0Y7YlHDtsiDawwp-uvifEJ8HVaSn0k2aGHG8-hwM/edit?usp=share_link"",""เชียงใหม่!I288"")+IMPORTRANGE(""https://docs.google.com/spreadsheets/d/1JWG2rZePOz9pe-f-ObA-yDr0VoOX2kSb0qIi"&amp;"x2mTUo8/edit?usp=share_link"",""ตาก!I288"")+IMPORTRANGE(""https://docs.google.com/spreadsheets/d/10nSRjK08hx8Y6HgSOQKNw81lyY46Zc7U_Cj72hBMp9U/edit?usp=share_link"",""นครสวรรค์!I288"")+IMPORTRANGE(""https://docs.google.com/spreadsheets/d/1gFVb7qd7amutrIxAA"&amp;"oM7lcy35hllxznovot8lyOfvDo/edit?usp=share_link"",""น่าน!I288"")+IMPORTRANGE(""https://docs.google.com/spreadsheets/d/1K0Aa9s-6EuHE5M0FG1F9aHLXRCOV917xvycTdLdct0w/edit?usp=share_link"",""พะเยา!I288"")+IMPORTRANGE(""https://docs.google.com/spreadsheets/d/1Y"&amp;"9LPKx95PyL5OKy09d-KbKJSuuEZCFdkhYjwC0XQjBA/edit?usp=share_link"",""พิจิตร!I288"")+IMPORTRANGE(""https://docs.google.com/spreadsheets/d/16OMuOwy2eVqZcYWOouQtTpa8X1L23h4660uVHc0C8os/edit?usp=share_link"",""พิษณุโลก!I288"")+IMPORTRANGE(""https://docs.google."&amp;"com/spreadsheets/d/1GfgTldLG6k77HXaMQzaafODklYuucJZQNs_GAPEfZyY/edit?usp=share_link"",""เพชรบูรณ์!I288"")+IMPORTRANGE(""https://docs.google.com/spreadsheets/d/1gvTMYAnm7v1yG1BKWFtr0DnaTsq59oW9dwWvFgq6hs0/edit?usp=share_link"",""แพร่!I288"")+IMPORTRANGE("""&amp;"https://docs.google.com/spreadsheets/d/1Wbcosgy-Xa1xXUArJSOenub6EfZHUSzc_bpJFWwQUf0/edit?usp=share_link"",""แม่ฮ่องสอน!I288"")+IMPORTRANGE(""https://docs.google.com/spreadsheets/d/1p7ERhsr0qZeSn-KSOdeHS9r0heI-lHtkcn2OH7hP0jQ/edit?usp=share_link"",""ลำปาง!"&amp;"I288"")+IMPORTRANGE(""https://docs.google.com/spreadsheets/d/1-uUXvimVhiU2U0bMN-xi2te0tS4X7DI2GLPnMjzl8cA/edit?usp=share_link"",""ลำพูน!I288"")+IMPORTRANGE(""https://docs.google.com/spreadsheets/d/17HrOaa5pBUI1onckFfumXB8xlg35qb2uBAFfF1D-Myo/edit?usp=shar"&amp;"e_link"",""สุโขทัย!I288"")+IMPORTRANGE(""https://docs.google.com/spreadsheets/d/1ubs5cl16eYL9gHbdHTJtmtYb9MGzHBs7CAphn8kNCgM/edit?usp=share_link"",""อุตรดิตถ์!I288"")+IMPORTRANGE(""https://docs.google.com/spreadsheets/d/1kII0BjS6CtVrBvI8IrytgPdxDrlyQDyigz"&amp;"MsohRtDMs/edit?usp=share_link"",""อุทัยธานี!I288"")
"),395)</f>
        <v>395</v>
      </c>
      <c r="J288" s="194">
        <f ca="1">IFERROR(__xludf.DUMMYFUNCTION("IMPORTRANGE(""https://docs.google.com/spreadsheets/d/1KxicF4apzSqm0-jIpmueT4kyZtE-Cwn5zskl7GD4loQ/edit?usp=share_link"",""กำแพงเพชร!J288"")+IMPORTRANGE(""https://docs.google.com/spreadsheets/d/1ZNYWeiFoFA1K1U4xKWqRX29MBvEyRHXORjo734Gnq_c/edit?usp=share_li"&amp;"nk"",""เชียงราย!J288"")
+IMPORTRANGE(""https://docs.google.com/spreadsheets/d/1Jgv0Y7YlHDtsiDawwp-uvifEJ8HVaSn0k2aGHG8-hwM/edit?usp=share_link"",""เชียงใหม่!J288"")+IMPORTRANGE(""https://docs.google.com/spreadsheets/d/1JWG2rZePOz9pe-f-ObA-yDr0VoOX2kSb0qIi"&amp;"x2mTUo8/edit?usp=share_link"",""ตาก!J288"")+IMPORTRANGE(""https://docs.google.com/spreadsheets/d/10nSRjK08hx8Y6HgSOQKNw81lyY46Zc7U_Cj72hBMp9U/edit?usp=share_link"",""นครสวรรค์!J288"")+IMPORTRANGE(""https://docs.google.com/spreadsheets/d/1gFVb7qd7amutrIxAA"&amp;"oM7lcy35hllxznovot8lyOfvDo/edit?usp=share_link"",""น่าน!J288"")+IMPORTRANGE(""https://docs.google.com/spreadsheets/d/1K0Aa9s-6EuHE5M0FG1F9aHLXRCOV917xvycTdLdct0w/edit?usp=share_link"",""พะเยา!J288"")+IMPORTRANGE(""https://docs.google.com/spreadsheets/d/1Y"&amp;"9LPKx95PyL5OKy09d-KbKJSuuEZCFdkhYjwC0XQjBA/edit?usp=share_link"",""พิจิตร!J288"")+IMPORTRANGE(""https://docs.google.com/spreadsheets/d/16OMuOwy2eVqZcYWOouQtTpa8X1L23h4660uVHc0C8os/edit?usp=share_link"",""พิษณุโลก!J288"")+IMPORTRANGE(""https://docs.google."&amp;"com/spreadsheets/d/1GfgTldLG6k77HXaMQzaafODklYuucJZQNs_GAPEfZyY/edit?usp=share_link"",""เพชรบูรณ์!J288"")+IMPORTRANGE(""https://docs.google.com/spreadsheets/d/1gvTMYAnm7v1yG1BKWFtr0DnaTsq59oW9dwWvFgq6hs0/edit?usp=share_link"",""แพร่!J288"")+IMPORTRANGE("""&amp;"https://docs.google.com/spreadsheets/d/1Wbcosgy-Xa1xXUArJSOenub6EfZHUSzc_bpJFWwQUf0/edit?usp=share_link"",""แม่ฮ่องสอน!J288"")+IMPORTRANGE(""https://docs.google.com/spreadsheets/d/1p7ERhsr0qZeSn-KSOdeHS9r0heI-lHtkcn2OH7hP0jQ/edit?usp=share_link"",""ลำปาง!"&amp;"J288"")+IMPORTRANGE(""https://docs.google.com/spreadsheets/d/1-uUXvimVhiU2U0bMN-xi2te0tS4X7DI2GLPnMjzl8cA/edit?usp=share_link"",""ลำพูน!J288"")+IMPORTRANGE(""https://docs.google.com/spreadsheets/d/17HrOaa5pBUI1onckFfumXB8xlg35qb2uBAFfF1D-Myo/edit?usp=shar"&amp;"e_link"",""สุโขทัย!J288"")+IMPORTRANGE(""https://docs.google.com/spreadsheets/d/1ubs5cl16eYL9gHbdHTJtmtYb9MGzHBs7CAphn8kNCgM/edit?usp=share_link"",""อุตรดิตถ์!J288"")+IMPORTRANGE(""https://docs.google.com/spreadsheets/d/1kII0BjS6CtVrBvI8IrytgPdxDrlyQDyigz"&amp;"MsohRtDMs/edit?usp=share_link"",""อุทัยธานี!J288"")
"),20)</f>
        <v>20</v>
      </c>
      <c r="K288" s="380">
        <f t="shared" ca="1" si="156"/>
        <v>5.0632911392405067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379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xicF4apzSqm0-jIpmueT4kyZtE-Cwn5zskl7GD4loQ/edit?usp=share_link"",""กำแพงเพชร!I290"")+IMPORTRANGE(""https://docs.google.com/spreadsheets/d/1ZNYWeiFoFA1K1U4xKWqRX29MBvEyRHXORjo734Gnq_c/edit?usp=share_li"&amp;"nk"",""เชียงราย!I290"")
+IMPORTRANGE(""https://docs.google.com/spreadsheets/d/1Jgv0Y7YlHDtsiDawwp-uvifEJ8HVaSn0k2aGHG8-hwM/edit?usp=share_link"",""เชียงใหม่!I290"")+IMPORTRANGE(""https://docs.google.com/spreadsheets/d/1JWG2rZePOz9pe-f-ObA-yDr0VoOX2kSb0qIi"&amp;"x2mTUo8/edit?usp=share_link"",""ตาก!I290"")+IMPORTRANGE(""https://docs.google.com/spreadsheets/d/10nSRjK08hx8Y6HgSOQKNw81lyY46Zc7U_Cj72hBMp9U/edit?usp=share_link"",""นครสวรรค์!I290"")+IMPORTRANGE(""https://docs.google.com/spreadsheets/d/1gFVb7qd7amutrIxAA"&amp;"oM7lcy35hllxznovot8lyOfvDo/edit?usp=share_link"",""น่าน!I290"")+IMPORTRANGE(""https://docs.google.com/spreadsheets/d/1K0Aa9s-6EuHE5M0FG1F9aHLXRCOV917xvycTdLdct0w/edit?usp=share_link"",""พะเยา!I290"")+IMPORTRANGE(""https://docs.google.com/spreadsheets/d/1Y"&amp;"9LPKx95PyL5OKy09d-KbKJSuuEZCFdkhYjwC0XQjBA/edit?usp=share_link"",""พิจิตร!I290"")+IMPORTRANGE(""https://docs.google.com/spreadsheets/d/16OMuOwy2eVqZcYWOouQtTpa8X1L23h4660uVHc0C8os/edit?usp=share_link"",""พิษณุโลก!I290"")+IMPORTRANGE(""https://docs.google."&amp;"com/spreadsheets/d/1GfgTldLG6k77HXaMQzaafODklYuucJZQNs_GAPEfZyY/edit?usp=share_link"",""เพชรบูรณ์!I290"")+IMPORTRANGE(""https://docs.google.com/spreadsheets/d/1gvTMYAnm7v1yG1BKWFtr0DnaTsq59oW9dwWvFgq6hs0/edit?usp=share_link"",""แพร่!I290"")+IMPORTRANGE("""&amp;"https://docs.google.com/spreadsheets/d/1Wbcosgy-Xa1xXUArJSOenub6EfZHUSzc_bpJFWwQUf0/edit?usp=share_link"",""แม่ฮ่องสอน!I290"")+IMPORTRANGE(""https://docs.google.com/spreadsheets/d/1p7ERhsr0qZeSn-KSOdeHS9r0heI-lHtkcn2OH7hP0jQ/edit?usp=share_link"",""ลำปาง!"&amp;"I290"")+IMPORTRANGE(""https://docs.google.com/spreadsheets/d/1-uUXvimVhiU2U0bMN-xi2te0tS4X7DI2GLPnMjzl8cA/edit?usp=share_link"",""ลำพูน!I290"")+IMPORTRANGE(""https://docs.google.com/spreadsheets/d/17HrOaa5pBUI1onckFfumXB8xlg35qb2uBAFfF1D-Myo/edit?usp=shar"&amp;"e_link"",""สุโขทัย!I290"")+IMPORTRANGE(""https://docs.google.com/spreadsheets/d/1ubs5cl16eYL9gHbdHTJtmtYb9MGzHBs7CAphn8kNCgM/edit?usp=share_link"",""อุตรดิตถ์!I290"")+IMPORTRANGE(""https://docs.google.com/spreadsheets/d/1kII0BjS6CtVrBvI8IrytgPdxDrlyQDyigz"&amp;"MsohRtDMs/edit?usp=share_link"",""อุทัยธานี!I290"")
"),395)</f>
        <v>395</v>
      </c>
      <c r="J290" s="183">
        <f ca="1">IFERROR(__xludf.DUMMYFUNCTION("IMPORTRANGE(""https://docs.google.com/spreadsheets/d/1KxicF4apzSqm0-jIpmueT4kyZtE-Cwn5zskl7GD4loQ/edit?usp=share_link"",""กำแพงเพชร!J290"")+IMPORTRANGE(""https://docs.google.com/spreadsheets/d/1ZNYWeiFoFA1K1U4xKWqRX29MBvEyRHXORjo734Gnq_c/edit?usp=share_li"&amp;"nk"",""เชียงราย!J290"")
+IMPORTRANGE(""https://docs.google.com/spreadsheets/d/1Jgv0Y7YlHDtsiDawwp-uvifEJ8HVaSn0k2aGHG8-hwM/edit?usp=share_link"",""เชียงใหม่!J290"")+IMPORTRANGE(""https://docs.google.com/spreadsheets/d/1JWG2rZePOz9pe-f-ObA-yDr0VoOX2kSb0qIi"&amp;"x2mTUo8/edit?usp=share_link"",""ตาก!J290"")+IMPORTRANGE(""https://docs.google.com/spreadsheets/d/10nSRjK08hx8Y6HgSOQKNw81lyY46Zc7U_Cj72hBMp9U/edit?usp=share_link"",""นครสวรรค์!J290"")+IMPORTRANGE(""https://docs.google.com/spreadsheets/d/1gFVb7qd7amutrIxAA"&amp;"oM7lcy35hllxznovot8lyOfvDo/edit?usp=share_link"",""น่าน!J290"")+IMPORTRANGE(""https://docs.google.com/spreadsheets/d/1K0Aa9s-6EuHE5M0FG1F9aHLXRCOV917xvycTdLdct0w/edit?usp=share_link"",""พะเยา!J290"")+IMPORTRANGE(""https://docs.google.com/spreadsheets/d/1Y"&amp;"9LPKx95PyL5OKy09d-KbKJSuuEZCFdkhYjwC0XQjBA/edit?usp=share_link"",""พิจิตร!J290"")+IMPORTRANGE(""https://docs.google.com/spreadsheets/d/16OMuOwy2eVqZcYWOouQtTpa8X1L23h4660uVHc0C8os/edit?usp=share_link"",""พิษณุโลก!J290"")+IMPORTRANGE(""https://docs.google."&amp;"com/spreadsheets/d/1GfgTldLG6k77HXaMQzaafODklYuucJZQNs_GAPEfZyY/edit?usp=share_link"",""เพชรบูรณ์!J290"")+IMPORTRANGE(""https://docs.google.com/spreadsheets/d/1gvTMYAnm7v1yG1BKWFtr0DnaTsq59oW9dwWvFgq6hs0/edit?usp=share_link"",""แพร่!J290"")+IMPORTRANGE("""&amp;"https://docs.google.com/spreadsheets/d/1Wbcosgy-Xa1xXUArJSOenub6EfZHUSzc_bpJFWwQUf0/edit?usp=share_link"",""แม่ฮ่องสอน!J290"")+IMPORTRANGE(""https://docs.google.com/spreadsheets/d/1p7ERhsr0qZeSn-KSOdeHS9r0heI-lHtkcn2OH7hP0jQ/edit?usp=share_link"",""ลำปาง!"&amp;"J290"")+IMPORTRANGE(""https://docs.google.com/spreadsheets/d/1-uUXvimVhiU2U0bMN-xi2te0tS4X7DI2GLPnMjzl8cA/edit?usp=share_link"",""ลำพูน!J290"")+IMPORTRANGE(""https://docs.google.com/spreadsheets/d/17HrOaa5pBUI1onckFfumXB8xlg35qb2uBAFfF1D-Myo/edit?usp=shar"&amp;"e_link"",""สุโขทัย!J290"")+IMPORTRANGE(""https://docs.google.com/spreadsheets/d/1ubs5cl16eYL9gHbdHTJtmtYb9MGzHBs7CAphn8kNCgM/edit?usp=share_link"",""อุตรดิตถ์!J290"")+IMPORTRANGE(""https://docs.google.com/spreadsheets/d/1kII0BjS6CtVrBvI8IrytgPdxDrlyQDyigz"&amp;"MsohRtDMs/edit?usp=share_link"",""อุทัยธานี!J290"")
"),325)</f>
        <v>325</v>
      </c>
      <c r="K290" s="163">
        <f t="shared" ref="K290:K291" ca="1" si="157">IF(I290&gt;0,J290*100/I290,0)</f>
        <v>82.278481012658233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379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xicF4apzSqm0-jIpmueT4kyZtE-Cwn5zskl7GD4loQ/edit?usp=share_link"",""กำแพงเพชร!I291"")+IMPORTRANGE(""https://docs.google.com/spreadsheets/d/1ZNYWeiFoFA1K1U4xKWqRX29MBvEyRHXORjo734Gnq_c/edit?usp=share_li"&amp;"nk"",""เชียงราย!I291"")
+IMPORTRANGE(""https://docs.google.com/spreadsheets/d/1Jgv0Y7YlHDtsiDawwp-uvifEJ8HVaSn0k2aGHG8-hwM/edit?usp=share_link"",""เชียงใหม่!I291"")+IMPORTRANGE(""https://docs.google.com/spreadsheets/d/1JWG2rZePOz9pe-f-ObA-yDr0VoOX2kSb0qIi"&amp;"x2mTUo8/edit?usp=share_link"",""ตาก!I291"")+IMPORTRANGE(""https://docs.google.com/spreadsheets/d/10nSRjK08hx8Y6HgSOQKNw81lyY46Zc7U_Cj72hBMp9U/edit?usp=share_link"",""นครสวรรค์!I291"")+IMPORTRANGE(""https://docs.google.com/spreadsheets/d/1gFVb7qd7amutrIxAA"&amp;"oM7lcy35hllxznovot8lyOfvDo/edit?usp=share_link"",""น่าน!I291"")+IMPORTRANGE(""https://docs.google.com/spreadsheets/d/1K0Aa9s-6EuHE5M0FG1F9aHLXRCOV917xvycTdLdct0w/edit?usp=share_link"",""พะเยา!I291"")+IMPORTRANGE(""https://docs.google.com/spreadsheets/d/1Y"&amp;"9LPKx95PyL5OKy09d-KbKJSuuEZCFdkhYjwC0XQjBA/edit?usp=share_link"",""พิจิตร!I291"")+IMPORTRANGE(""https://docs.google.com/spreadsheets/d/16OMuOwy2eVqZcYWOouQtTpa8X1L23h4660uVHc0C8os/edit?usp=share_link"",""พิษณุโลก!I291"")+IMPORTRANGE(""https://docs.google."&amp;"com/spreadsheets/d/1GfgTldLG6k77HXaMQzaafODklYuucJZQNs_GAPEfZyY/edit?usp=share_link"",""เพชรบูรณ์!I291"")+IMPORTRANGE(""https://docs.google.com/spreadsheets/d/1gvTMYAnm7v1yG1BKWFtr0DnaTsq59oW9dwWvFgq6hs0/edit?usp=share_link"",""แพร่!I291"")+IMPORTRANGE("""&amp;"https://docs.google.com/spreadsheets/d/1Wbcosgy-Xa1xXUArJSOenub6EfZHUSzc_bpJFWwQUf0/edit?usp=share_link"",""แม่ฮ่องสอน!I291"")+IMPORTRANGE(""https://docs.google.com/spreadsheets/d/1p7ERhsr0qZeSn-KSOdeHS9r0heI-lHtkcn2OH7hP0jQ/edit?usp=share_link"",""ลำปาง!"&amp;"I291"")+IMPORTRANGE(""https://docs.google.com/spreadsheets/d/1-uUXvimVhiU2U0bMN-xi2te0tS4X7DI2GLPnMjzl8cA/edit?usp=share_link"",""ลำพูน!I291"")+IMPORTRANGE(""https://docs.google.com/spreadsheets/d/17HrOaa5pBUI1onckFfumXB8xlg35qb2uBAFfF1D-Myo/edit?usp=shar"&amp;"e_link"",""สุโขทัย!I291"")+IMPORTRANGE(""https://docs.google.com/spreadsheets/d/1ubs5cl16eYL9gHbdHTJtmtYb9MGzHBs7CAphn8kNCgM/edit?usp=share_link"",""อุตรดิตถ์!I291"")+IMPORTRANGE(""https://docs.google.com/spreadsheets/d/1kII0BjS6CtVrBvI8IrytgPdxDrlyQDyigz"&amp;"MsohRtDMs/edit?usp=share_link"",""อุทัยธานี!I291"")
"),395)</f>
        <v>395</v>
      </c>
      <c r="J291" s="183">
        <f ca="1">IFERROR(__xludf.DUMMYFUNCTION("IMPORTRANGE(""https://docs.google.com/spreadsheets/d/1KxicF4apzSqm0-jIpmueT4kyZtE-Cwn5zskl7GD4loQ/edit?usp=share_link"",""กำแพงเพชร!J291"")+IMPORTRANGE(""https://docs.google.com/spreadsheets/d/1ZNYWeiFoFA1K1U4xKWqRX29MBvEyRHXORjo734Gnq_c/edit?usp=share_li"&amp;"nk"",""เชียงราย!J291"")
+IMPORTRANGE(""https://docs.google.com/spreadsheets/d/1Jgv0Y7YlHDtsiDawwp-uvifEJ8HVaSn0k2aGHG8-hwM/edit?usp=share_link"",""เชียงใหม่!J291"")+IMPORTRANGE(""https://docs.google.com/spreadsheets/d/1JWG2rZePOz9pe-f-ObA-yDr0VoOX2kSb0qIi"&amp;"x2mTUo8/edit?usp=share_link"",""ตาก!J291"")+IMPORTRANGE(""https://docs.google.com/spreadsheets/d/10nSRjK08hx8Y6HgSOQKNw81lyY46Zc7U_Cj72hBMp9U/edit?usp=share_link"",""นครสวรรค์!J291"")+IMPORTRANGE(""https://docs.google.com/spreadsheets/d/1gFVb7qd7amutrIxAA"&amp;"oM7lcy35hllxznovot8lyOfvDo/edit?usp=share_link"",""น่าน!J291"")+IMPORTRANGE(""https://docs.google.com/spreadsheets/d/1K0Aa9s-6EuHE5M0FG1F9aHLXRCOV917xvycTdLdct0w/edit?usp=share_link"",""พะเยา!J291"")+IMPORTRANGE(""https://docs.google.com/spreadsheets/d/1Y"&amp;"9LPKx95PyL5OKy09d-KbKJSuuEZCFdkhYjwC0XQjBA/edit?usp=share_link"",""พิจิตร!J291"")+IMPORTRANGE(""https://docs.google.com/spreadsheets/d/16OMuOwy2eVqZcYWOouQtTpa8X1L23h4660uVHc0C8os/edit?usp=share_link"",""พิษณุโลก!J291"")+IMPORTRANGE(""https://docs.google."&amp;"com/spreadsheets/d/1GfgTldLG6k77HXaMQzaafODklYuucJZQNs_GAPEfZyY/edit?usp=share_link"",""เพชรบูรณ์!J291"")+IMPORTRANGE(""https://docs.google.com/spreadsheets/d/1gvTMYAnm7v1yG1BKWFtr0DnaTsq59oW9dwWvFgq6hs0/edit?usp=share_link"",""แพร่!J291"")+IMPORTRANGE("""&amp;"https://docs.google.com/spreadsheets/d/1Wbcosgy-Xa1xXUArJSOenub6EfZHUSzc_bpJFWwQUf0/edit?usp=share_link"",""แม่ฮ่องสอน!J291"")+IMPORTRANGE(""https://docs.google.com/spreadsheets/d/1p7ERhsr0qZeSn-KSOdeHS9r0heI-lHtkcn2OH7hP0jQ/edit?usp=share_link"",""ลำปาง!"&amp;"J291"")+IMPORTRANGE(""https://docs.google.com/spreadsheets/d/1-uUXvimVhiU2U0bMN-xi2te0tS4X7DI2GLPnMjzl8cA/edit?usp=share_link"",""ลำพูน!J291"")+IMPORTRANGE(""https://docs.google.com/spreadsheets/d/17HrOaa5pBUI1onckFfumXB8xlg35qb2uBAFfF1D-Myo/edit?usp=shar"&amp;"e_link"",""สุโขทัย!J291"")+IMPORTRANGE(""https://docs.google.com/spreadsheets/d/1ubs5cl16eYL9gHbdHTJtmtYb9MGzHBs7CAphn8kNCgM/edit?usp=share_link"",""อุตรดิตถ์!J291"")+IMPORTRANGE(""https://docs.google.com/spreadsheets/d/1kII0BjS6CtVrBvI8IrytgPdxDrlyQDyigz"&amp;"MsohRtDMs/edit?usp=share_link"",""อุทัยธานี!J291"")
"),325)</f>
        <v>325</v>
      </c>
      <c r="K291" s="163">
        <f t="shared" ca="1" si="157"/>
        <v>82.278481012658233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379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xicF4apzSqm0-jIpmueT4kyZtE-Cwn5zskl7GD4loQ/edit?usp=share_link"",""กำแพงเพชร!I293"")+IMPORTRANGE(""https://docs.google.com/spreadsheets/d/1ZNYWeiFoFA1K1U4xKWqRX29MBvEyRHXORjo734Gnq_c/edit?usp=share_li"&amp;"nk"",""เชียงราย!I293"")
+IMPORTRANGE(""https://docs.google.com/spreadsheets/d/1Jgv0Y7YlHDtsiDawwp-uvifEJ8HVaSn0k2aGHG8-hwM/edit?usp=share_link"",""เชียงใหม่!I293"")+IMPORTRANGE(""https://docs.google.com/spreadsheets/d/1JWG2rZePOz9pe-f-ObA-yDr0VoOX2kSb0qIi"&amp;"x2mTUo8/edit?usp=share_link"",""ตาก!I293"")+IMPORTRANGE(""https://docs.google.com/spreadsheets/d/10nSRjK08hx8Y6HgSOQKNw81lyY46Zc7U_Cj72hBMp9U/edit?usp=share_link"",""นครสวรรค์!I293"")+IMPORTRANGE(""https://docs.google.com/spreadsheets/d/1gFVb7qd7amutrIxAA"&amp;"oM7lcy35hllxznovot8lyOfvDo/edit?usp=share_link"",""น่าน!I293"")+IMPORTRANGE(""https://docs.google.com/spreadsheets/d/1K0Aa9s-6EuHE5M0FG1F9aHLXRCOV917xvycTdLdct0w/edit?usp=share_link"",""พะเยา!I293"")+IMPORTRANGE(""https://docs.google.com/spreadsheets/d/1Y"&amp;"9LPKx95PyL5OKy09d-KbKJSuuEZCFdkhYjwC0XQjBA/edit?usp=share_link"",""พิจิตร!I293"")+IMPORTRANGE(""https://docs.google.com/spreadsheets/d/16OMuOwy2eVqZcYWOouQtTpa8X1L23h4660uVHc0C8os/edit?usp=share_link"",""พิษณุโลก!I293"")+IMPORTRANGE(""https://docs.google."&amp;"com/spreadsheets/d/1GfgTldLG6k77HXaMQzaafODklYuucJZQNs_GAPEfZyY/edit?usp=share_link"",""เพชรบูรณ์!I293"")+IMPORTRANGE(""https://docs.google.com/spreadsheets/d/1gvTMYAnm7v1yG1BKWFtr0DnaTsq59oW9dwWvFgq6hs0/edit?usp=share_link"",""แพร่!I293"")+IMPORTRANGE("""&amp;"https://docs.google.com/spreadsheets/d/1Wbcosgy-Xa1xXUArJSOenub6EfZHUSzc_bpJFWwQUf0/edit?usp=share_link"",""แม่ฮ่องสอน!I293"")+IMPORTRANGE(""https://docs.google.com/spreadsheets/d/1p7ERhsr0qZeSn-KSOdeHS9r0heI-lHtkcn2OH7hP0jQ/edit?usp=share_link"",""ลำปาง!"&amp;"I293"")+IMPORTRANGE(""https://docs.google.com/spreadsheets/d/1-uUXvimVhiU2U0bMN-xi2te0tS4X7DI2GLPnMjzl8cA/edit?usp=share_link"",""ลำพูน!I293"")+IMPORTRANGE(""https://docs.google.com/spreadsheets/d/17HrOaa5pBUI1onckFfumXB8xlg35qb2uBAFfF1D-Myo/edit?usp=shar"&amp;"e_link"",""สุโขทัย!I293"")+IMPORTRANGE(""https://docs.google.com/spreadsheets/d/1ubs5cl16eYL9gHbdHTJtmtYb9MGzHBs7CAphn8kNCgM/edit?usp=share_link"",""อุตรดิตถ์!I293"")+IMPORTRANGE(""https://docs.google.com/spreadsheets/d/1kII0BjS6CtVrBvI8IrytgPdxDrlyQDyigz"&amp;"MsohRtDMs/edit?usp=share_link"",""อุทัยธานี!I293"")
"),395)</f>
        <v>395</v>
      </c>
      <c r="J293" s="183">
        <f ca="1">IFERROR(__xludf.DUMMYFUNCTION("IMPORTRANGE(""https://docs.google.com/spreadsheets/d/1KxicF4apzSqm0-jIpmueT4kyZtE-Cwn5zskl7GD4loQ/edit?usp=share_link"",""กำแพงเพชร!J293"")+IMPORTRANGE(""https://docs.google.com/spreadsheets/d/1ZNYWeiFoFA1K1U4xKWqRX29MBvEyRHXORjo734Gnq_c/edit?usp=share_li"&amp;"nk"",""เชียงราย!J293"")
+IMPORTRANGE(""https://docs.google.com/spreadsheets/d/1Jgv0Y7YlHDtsiDawwp-uvifEJ8HVaSn0k2aGHG8-hwM/edit?usp=share_link"",""เชียงใหม่!J293"")+IMPORTRANGE(""https://docs.google.com/spreadsheets/d/1JWG2rZePOz9pe-f-ObA-yDr0VoOX2kSb0qIi"&amp;"x2mTUo8/edit?usp=share_link"",""ตาก!J293"")+IMPORTRANGE(""https://docs.google.com/spreadsheets/d/10nSRjK08hx8Y6HgSOQKNw81lyY46Zc7U_Cj72hBMp9U/edit?usp=share_link"",""นครสวรรค์!J293"")+IMPORTRANGE(""https://docs.google.com/spreadsheets/d/1gFVb7qd7amutrIxAA"&amp;"oM7lcy35hllxznovot8lyOfvDo/edit?usp=share_link"",""น่าน!J293"")+IMPORTRANGE(""https://docs.google.com/spreadsheets/d/1K0Aa9s-6EuHE5M0FG1F9aHLXRCOV917xvycTdLdct0w/edit?usp=share_link"",""พะเยา!J293"")+IMPORTRANGE(""https://docs.google.com/spreadsheets/d/1Y"&amp;"9LPKx95PyL5OKy09d-KbKJSuuEZCFdkhYjwC0XQjBA/edit?usp=share_link"",""พิจิตร!J293"")+IMPORTRANGE(""https://docs.google.com/spreadsheets/d/16OMuOwy2eVqZcYWOouQtTpa8X1L23h4660uVHc0C8os/edit?usp=share_link"",""พิษณุโลก!J293"")+IMPORTRANGE(""https://docs.google."&amp;"com/spreadsheets/d/1GfgTldLG6k77HXaMQzaafODklYuucJZQNs_GAPEfZyY/edit?usp=share_link"",""เพชรบูรณ์!J293"")+IMPORTRANGE(""https://docs.google.com/spreadsheets/d/1gvTMYAnm7v1yG1BKWFtr0DnaTsq59oW9dwWvFgq6hs0/edit?usp=share_link"",""แพร่!J293"")+IMPORTRANGE("""&amp;"https://docs.google.com/spreadsheets/d/1Wbcosgy-Xa1xXUArJSOenub6EfZHUSzc_bpJFWwQUf0/edit?usp=share_link"",""แม่ฮ่องสอน!J293"")+IMPORTRANGE(""https://docs.google.com/spreadsheets/d/1p7ERhsr0qZeSn-KSOdeHS9r0heI-lHtkcn2OH7hP0jQ/edit?usp=share_link"",""ลำปาง!"&amp;"J293"")+IMPORTRANGE(""https://docs.google.com/spreadsheets/d/1-uUXvimVhiU2U0bMN-xi2te0tS4X7DI2GLPnMjzl8cA/edit?usp=share_link"",""ลำพูน!J293"")+IMPORTRANGE(""https://docs.google.com/spreadsheets/d/17HrOaa5pBUI1onckFfumXB8xlg35qb2uBAFfF1D-Myo/edit?usp=shar"&amp;"e_link"",""สุโขทัย!J293"")+IMPORTRANGE(""https://docs.google.com/spreadsheets/d/1ubs5cl16eYL9gHbdHTJtmtYb9MGzHBs7CAphn8kNCgM/edit?usp=share_link"",""อุตรดิตถ์!J293"")+IMPORTRANGE(""https://docs.google.com/spreadsheets/d/1kII0BjS6CtVrBvI8IrytgPdxDrlyQDyigz"&amp;"MsohRtDMs/edit?usp=share_link"",""อุทัยธานี!J293"")
"),30)</f>
        <v>30</v>
      </c>
      <c r="K293" s="163">
        <f t="shared" ref="K293:K294" ca="1" si="158">IF(I293&gt;0,J293*100/I293,0)</f>
        <v>7.5949367088607591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390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KxicF4apzSqm0-jIpmueT4kyZtE-Cwn5zskl7GD4loQ/edit?usp=share_link"",""กำแพงเพชร!I294"")+IMPORTRANGE(""https://docs.google.com/spreadsheets/d/1ZNYWeiFoFA1K1U4xKWqRX29MBvEyRHXORjo734Gnq_c/edit?usp=share_li"&amp;"nk"",""เชียงราย!I294"")
+IMPORTRANGE(""https://docs.google.com/spreadsheets/d/1Jgv0Y7YlHDtsiDawwp-uvifEJ8HVaSn0k2aGHG8-hwM/edit?usp=share_link"",""เชียงใหม่!I294"")+IMPORTRANGE(""https://docs.google.com/spreadsheets/d/1JWG2rZePOz9pe-f-ObA-yDr0VoOX2kSb0qIi"&amp;"x2mTUo8/edit?usp=share_link"",""ตาก!I294"")+IMPORTRANGE(""https://docs.google.com/spreadsheets/d/10nSRjK08hx8Y6HgSOQKNw81lyY46Zc7U_Cj72hBMp9U/edit?usp=share_link"",""นครสวรรค์!I294"")+IMPORTRANGE(""https://docs.google.com/spreadsheets/d/1gFVb7qd7amutrIxAA"&amp;"oM7lcy35hllxznovot8lyOfvDo/edit?usp=share_link"",""น่าน!I294"")+IMPORTRANGE(""https://docs.google.com/spreadsheets/d/1K0Aa9s-6EuHE5M0FG1F9aHLXRCOV917xvycTdLdct0w/edit?usp=share_link"",""พะเยา!I294"")+IMPORTRANGE(""https://docs.google.com/spreadsheets/d/1Y"&amp;"9LPKx95PyL5OKy09d-KbKJSuuEZCFdkhYjwC0XQjBA/edit?usp=share_link"",""พิจิตร!I294"")+IMPORTRANGE(""https://docs.google.com/spreadsheets/d/16OMuOwy2eVqZcYWOouQtTpa8X1L23h4660uVHc0C8os/edit?usp=share_link"",""พิษณุโลก!I294"")+IMPORTRANGE(""https://docs.google."&amp;"com/spreadsheets/d/1GfgTldLG6k77HXaMQzaafODklYuucJZQNs_GAPEfZyY/edit?usp=share_link"",""เพชรบูรณ์!I294"")+IMPORTRANGE(""https://docs.google.com/spreadsheets/d/1gvTMYAnm7v1yG1BKWFtr0DnaTsq59oW9dwWvFgq6hs0/edit?usp=share_link"",""แพร่!I294"")+IMPORTRANGE("""&amp;"https://docs.google.com/spreadsheets/d/1Wbcosgy-Xa1xXUArJSOenub6EfZHUSzc_bpJFWwQUf0/edit?usp=share_link"",""แม่ฮ่องสอน!I294"")+IMPORTRANGE(""https://docs.google.com/spreadsheets/d/1p7ERhsr0qZeSn-KSOdeHS9r0heI-lHtkcn2OH7hP0jQ/edit?usp=share_link"",""ลำปาง!"&amp;"I294"")+IMPORTRANGE(""https://docs.google.com/spreadsheets/d/1-uUXvimVhiU2U0bMN-xi2te0tS4X7DI2GLPnMjzl8cA/edit?usp=share_link"",""ลำพูน!I294"")+IMPORTRANGE(""https://docs.google.com/spreadsheets/d/17HrOaa5pBUI1onckFfumXB8xlg35qb2uBAFfF1D-Myo/edit?usp=shar"&amp;"e_link"",""สุโขทัย!I294"")+IMPORTRANGE(""https://docs.google.com/spreadsheets/d/1ubs5cl16eYL9gHbdHTJtmtYb9MGzHBs7CAphn8kNCgM/edit?usp=share_link"",""อุตรดิตถ์!I294"")+IMPORTRANGE(""https://docs.google.com/spreadsheets/d/1kII0BjS6CtVrBvI8IrytgPdxDrlyQDyigz"&amp;"MsohRtDMs/edit?usp=share_link"",""อุทัยธานี!I294"")
"),395)</f>
        <v>395</v>
      </c>
      <c r="J294" s="393">
        <f ca="1">IFERROR(__xludf.DUMMYFUNCTION("IMPORTRANGE(""https://docs.google.com/spreadsheets/d/1KxicF4apzSqm0-jIpmueT4kyZtE-Cwn5zskl7GD4loQ/edit?usp=share_link"",""กำแพงเพชร!J294"")+IMPORTRANGE(""https://docs.google.com/spreadsheets/d/1ZNYWeiFoFA1K1U4xKWqRX29MBvEyRHXORjo734Gnq_c/edit?usp=share_li"&amp;"nk"",""เชียงราย!J294"")
+IMPORTRANGE(""https://docs.google.com/spreadsheets/d/1Jgv0Y7YlHDtsiDawwp-uvifEJ8HVaSn0k2aGHG8-hwM/edit?usp=share_link"",""เชียงใหม่!J294"")+IMPORTRANGE(""https://docs.google.com/spreadsheets/d/1JWG2rZePOz9pe-f-ObA-yDr0VoOX2kSb0qIi"&amp;"x2mTUo8/edit?usp=share_link"",""ตาก!J294"")+IMPORTRANGE(""https://docs.google.com/spreadsheets/d/10nSRjK08hx8Y6HgSOQKNw81lyY46Zc7U_Cj72hBMp9U/edit?usp=share_link"",""นครสวรรค์!J294"")+IMPORTRANGE(""https://docs.google.com/spreadsheets/d/1gFVb7qd7amutrIxAA"&amp;"oM7lcy35hllxznovot8lyOfvDo/edit?usp=share_link"",""น่าน!J294"")+IMPORTRANGE(""https://docs.google.com/spreadsheets/d/1K0Aa9s-6EuHE5M0FG1F9aHLXRCOV917xvycTdLdct0w/edit?usp=share_link"",""พะเยา!J294"")+IMPORTRANGE(""https://docs.google.com/spreadsheets/d/1Y"&amp;"9LPKx95PyL5OKy09d-KbKJSuuEZCFdkhYjwC0XQjBA/edit?usp=share_link"",""พิจิตร!J294"")+IMPORTRANGE(""https://docs.google.com/spreadsheets/d/16OMuOwy2eVqZcYWOouQtTpa8X1L23h4660uVHc0C8os/edit?usp=share_link"",""พิษณุโลก!J294"")+IMPORTRANGE(""https://docs.google."&amp;"com/spreadsheets/d/1GfgTldLG6k77HXaMQzaafODklYuucJZQNs_GAPEfZyY/edit?usp=share_link"",""เพชรบูรณ์!J294"")+IMPORTRANGE(""https://docs.google.com/spreadsheets/d/1gvTMYAnm7v1yG1BKWFtr0DnaTsq59oW9dwWvFgq6hs0/edit?usp=share_link"",""แพร่!J294"")+IMPORTRANGE("""&amp;"https://docs.google.com/spreadsheets/d/1Wbcosgy-Xa1xXUArJSOenub6EfZHUSzc_bpJFWwQUf0/edit?usp=share_link"",""แม่ฮ่องสอน!J294"")+IMPORTRANGE(""https://docs.google.com/spreadsheets/d/1p7ERhsr0qZeSn-KSOdeHS9r0heI-lHtkcn2OH7hP0jQ/edit?usp=share_link"",""ลำปาง!"&amp;"J294"")+IMPORTRANGE(""https://docs.google.com/spreadsheets/d/1-uUXvimVhiU2U0bMN-xi2te0tS4X7DI2GLPnMjzl8cA/edit?usp=share_link"",""ลำพูน!J294"")+IMPORTRANGE(""https://docs.google.com/spreadsheets/d/17HrOaa5pBUI1onckFfumXB8xlg35qb2uBAFfF1D-Myo/edit?usp=shar"&amp;"e_link"",""สุโขทัย!J294"")+IMPORTRANGE(""https://docs.google.com/spreadsheets/d/1ubs5cl16eYL9gHbdHTJtmtYb9MGzHBs7CAphn8kNCgM/edit?usp=share_link"",""อุตรดิตถ์!J294"")+IMPORTRANGE(""https://docs.google.com/spreadsheets/d/1kII0BjS6CtVrBvI8IrytgPdxDrlyQDyigz"&amp;"MsohRtDMs/edit?usp=share_link"",""อุทัยธานี!J294"")
"),30)</f>
        <v>30</v>
      </c>
      <c r="K294" s="354">
        <f t="shared" ca="1" si="158"/>
        <v>7.5949367088607591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59">I309</f>
        <v>230</v>
      </c>
      <c r="J297" s="413">
        <f t="shared" ca="1" si="159"/>
        <v>190</v>
      </c>
      <c r="K297" s="414">
        <f ca="1">IF(I297&gt;0,J297*100/I297,0)</f>
        <v>82.608695652173907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60">L299+L300</f>
        <v>2230600</v>
      </c>
      <c r="M298" s="155">
        <f t="shared" ca="1" si="160"/>
        <v>1672600</v>
      </c>
      <c r="N298" s="155">
        <f t="shared" ca="1" si="160"/>
        <v>871044.33</v>
      </c>
      <c r="O298" s="155">
        <f t="shared" ref="O298:O306" ca="1" si="161">IF(L298&gt;0,N298*100/L298,0)</f>
        <v>39.049777189993726</v>
      </c>
      <c r="P298" s="155">
        <f t="shared" ref="P298:P306" ca="1" si="162">IF(M298&gt;0,N298*100/M298,0)</f>
        <v>52.077264737534378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3">L302+L305</f>
        <v>0</v>
      </c>
      <c r="M299" s="45">
        <f t="shared" si="163"/>
        <v>0</v>
      </c>
      <c r="N299" s="45">
        <f t="shared" si="163"/>
        <v>0</v>
      </c>
      <c r="O299" s="45">
        <f t="shared" si="161"/>
        <v>0</v>
      </c>
      <c r="P299" s="45">
        <f t="shared" si="162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4">L303+L306</f>
        <v>2230600</v>
      </c>
      <c r="M300" s="45">
        <f t="shared" ca="1" si="164"/>
        <v>1672600</v>
      </c>
      <c r="N300" s="45">
        <f t="shared" ca="1" si="164"/>
        <v>871044.33</v>
      </c>
      <c r="O300" s="45">
        <f t="shared" ca="1" si="161"/>
        <v>39.049777189993726</v>
      </c>
      <c r="P300" s="45">
        <f t="shared" ca="1" si="162"/>
        <v>52.077264737534378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5">L302+L303</f>
        <v>2230600</v>
      </c>
      <c r="M301" s="38">
        <f t="shared" ca="1" si="165"/>
        <v>1672600</v>
      </c>
      <c r="N301" s="38">
        <f t="shared" ca="1" si="165"/>
        <v>871044.33</v>
      </c>
      <c r="O301" s="38">
        <f t="shared" ca="1" si="161"/>
        <v>39.049777189993726</v>
      </c>
      <c r="P301" s="38">
        <f t="shared" ca="1" si="162"/>
        <v>52.077264737534378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1"/>
        <v>0</v>
      </c>
      <c r="P302" s="45">
        <f t="shared" si="162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xicF4apzSqm0-jIpmueT4kyZtE-Cwn5zskl7GD4loQ/edit?usp=share_link"",""กำแพงเพชร!l303"")+IMPORTRANGE(""https://docs.google.com/spreadsheets/d/1ZNYWeiFoFA1K1U4xKWqRX29MBvEyRHXORjo734Gnq_c/edit?usp=share_li"&amp;"nk"",""เชียงราย!l303"")
+IMPORTRANGE(""https://docs.google.com/spreadsheets/d/1Jgv0Y7YlHDtsiDawwp-uvifEJ8HVaSn0k2aGHG8-hwM/edit?usp=share_link"",""เชียงใหม่!l303"")+IMPORTRANGE(""https://docs.google.com/spreadsheets/d/1JWG2rZePOz9pe-f-ObA-yDr0VoOX2kSb0qIi"&amp;"x2mTUo8/edit?usp=share_link"",""ตาก!l303"")+IMPORTRANGE(""https://docs.google.com/spreadsheets/d/10nSRjK08hx8Y6HgSOQKNw81lyY46Zc7U_Cj72hBMp9U/edit?usp=share_link"",""นครสวรรค์!l303"")+IMPORTRANGE(""https://docs.google.com/spreadsheets/d/1gFVb7qd7amutrIxAA"&amp;"oM7lcy35hllxznovot8lyOfvDo/edit?usp=share_link"",""น่าน!l303"")+IMPORTRANGE(""https://docs.google.com/spreadsheets/d/1K0Aa9s-6EuHE5M0FG1F9aHLXRCOV917xvycTdLdct0w/edit?usp=share_link"",""พะเยา!l303"")+IMPORTRANGE(""https://docs.google.com/spreadsheets/d/1Y"&amp;"9LPKx95PyL5OKy09d-KbKJSuuEZCFdkhYjwC0XQjBA/edit?usp=share_link"",""พิจิตร!l303"")+IMPORTRANGE(""https://docs.google.com/spreadsheets/d/16OMuOwy2eVqZcYWOouQtTpa8X1L23h4660uVHc0C8os/edit?usp=share_link"",""พิษณุโลก!l303"")+IMPORTRANGE(""https://docs.google."&amp;"com/spreadsheets/d/1GfgTldLG6k77HXaMQzaafODklYuucJZQNs_GAPEfZyY/edit?usp=share_link"",""เพชรบูรณ์!l303"")+IMPORTRANGE(""https://docs.google.com/spreadsheets/d/1gvTMYAnm7v1yG1BKWFtr0DnaTsq59oW9dwWvFgq6hs0/edit?usp=share_link"",""แพร่!l303"")+IMPORTRANGE("""&amp;"https://docs.google.com/spreadsheets/d/1Wbcosgy-Xa1xXUArJSOenub6EfZHUSzc_bpJFWwQUf0/edit?usp=share_link"",""แม่ฮ่องสอน!l303"")+IMPORTRANGE(""https://docs.google.com/spreadsheets/d/1p7ERhsr0qZeSn-KSOdeHS9r0heI-lHtkcn2OH7hP0jQ/edit?usp=share_link"",""ลำปาง!"&amp;"l303"")+IMPORTRANGE(""https://docs.google.com/spreadsheets/d/1-uUXvimVhiU2U0bMN-xi2te0tS4X7DI2GLPnMjzl8cA/edit?usp=share_link"",""ลำพูน!l303"")+IMPORTRANGE(""https://docs.google.com/spreadsheets/d/17HrOaa5pBUI1onckFfumXB8xlg35qb2uBAFfF1D-Myo/edit?usp=shar"&amp;"e_link"",""สุโขทัย!l303"")+IMPORTRANGE(""https://docs.google.com/spreadsheets/d/1ubs5cl16eYL9gHbdHTJtmtYb9MGzHBs7CAphn8kNCgM/edit?usp=share_link"",""อุตรดิตถ์!l303"")+IMPORTRANGE(""https://docs.google.com/spreadsheets/d/1kII0BjS6CtVrBvI8IrytgPdxDrlyQDyigz"&amp;"MsohRtDMs/edit?usp=share_link"",""อุทัยธานี!l303"")
"),2230600)</f>
        <v>2230600</v>
      </c>
      <c r="M303" s="45">
        <f ca="1">IFERROR(__xludf.DUMMYFUNCTION("IMPORTRANGE(""https://docs.google.com/spreadsheets/d/1KxicF4apzSqm0-jIpmueT4kyZtE-Cwn5zskl7GD4loQ/edit?usp=share_link"",""กำแพงเพชร!m303"")+IMPORTRANGE(""https://docs.google.com/spreadsheets/d/1ZNYWeiFoFA1K1U4xKWqRX29MBvEyRHXORjo734Gnq_c/edit?usp=share_li"&amp;"nk"",""เชียงราย!m303"")
+IMPORTRANGE(""https://docs.google.com/spreadsheets/d/1Jgv0Y7YlHDtsiDawwp-uvifEJ8HVaSn0k2aGHG8-hwM/edit?usp=share_link"",""เชียงใหม่!m303"")+IMPORTRANGE(""https://docs.google.com/spreadsheets/d/1JWG2rZePOz9pe-f-ObA-yDr0VoOX2kSb0qIi"&amp;"x2mTUo8/edit?usp=share_link"",""ตาก!m303"")+IMPORTRANGE(""https://docs.google.com/spreadsheets/d/10nSRjK08hx8Y6HgSOQKNw81lyY46Zc7U_Cj72hBMp9U/edit?usp=share_link"",""นครสวรรค์!m303"")+IMPORTRANGE(""https://docs.google.com/spreadsheets/d/1gFVb7qd7amutrIxAA"&amp;"oM7lcy35hllxznovot8lyOfvDo/edit?usp=share_link"",""น่าน!m303"")+IMPORTRANGE(""https://docs.google.com/spreadsheets/d/1K0Aa9s-6EuHE5M0FG1F9aHLXRCOV917xvycTdLdct0w/edit?usp=share_link"",""พะเยา!m303"")+IMPORTRANGE(""https://docs.google.com/spreadsheets/d/1Y"&amp;"9LPKx95PyL5OKy09d-KbKJSuuEZCFdkhYjwC0XQjBA/edit?usp=share_link"",""พิจิตร!m303"")+IMPORTRANGE(""https://docs.google.com/spreadsheets/d/16OMuOwy2eVqZcYWOouQtTpa8X1L23h4660uVHc0C8os/edit?usp=share_link"",""พิษณุโลก!m303"")+IMPORTRANGE(""https://docs.google."&amp;"com/spreadsheets/d/1GfgTldLG6k77HXaMQzaafODklYuucJZQNs_GAPEfZyY/edit?usp=share_link"",""เพชรบูรณ์!m303"")+IMPORTRANGE(""https://docs.google.com/spreadsheets/d/1gvTMYAnm7v1yG1BKWFtr0DnaTsq59oW9dwWvFgq6hs0/edit?usp=share_link"",""แพร่!m303"")+IMPORTRANGE("""&amp;"https://docs.google.com/spreadsheets/d/1Wbcosgy-Xa1xXUArJSOenub6EfZHUSzc_bpJFWwQUf0/edit?usp=share_link"",""แม่ฮ่องสอน!m303"")+IMPORTRANGE(""https://docs.google.com/spreadsheets/d/1p7ERhsr0qZeSn-KSOdeHS9r0heI-lHtkcn2OH7hP0jQ/edit?usp=share_link"",""ลำปาง!"&amp;"m303"")+IMPORTRANGE(""https://docs.google.com/spreadsheets/d/1-uUXvimVhiU2U0bMN-xi2te0tS4X7DI2GLPnMjzl8cA/edit?usp=share_link"",""ลำพูน!m303"")+IMPORTRANGE(""https://docs.google.com/spreadsheets/d/17HrOaa5pBUI1onckFfumXB8xlg35qb2uBAFfF1D-Myo/edit?usp=shar"&amp;"e_link"",""สุโขทัย!m303"")+IMPORTRANGE(""https://docs.google.com/spreadsheets/d/1ubs5cl16eYL9gHbdHTJtmtYb9MGzHBs7CAphn8kNCgM/edit?usp=share_link"",""อุตรดิตถ์!m303"")+IMPORTRANGE(""https://docs.google.com/spreadsheets/d/1kII0BjS6CtVrBvI8IrytgPdxDrlyQDyigz"&amp;"MsohRtDMs/edit?usp=share_link"",""อุทัยธานี!m303"")
"),1672600)</f>
        <v>1672600</v>
      </c>
      <c r="N303" s="45">
        <f ca="1">IFERROR(__xludf.DUMMYFUNCTION("IMPORTRANGE(""https://docs.google.com/spreadsheets/d/1KxicF4apzSqm0-jIpmueT4kyZtE-Cwn5zskl7GD4loQ/edit?usp=share_link"",""กำแพงเพชร!n303"")+IMPORTRANGE(""https://docs.google.com/spreadsheets/d/1ZNYWeiFoFA1K1U4xKWqRX29MBvEyRHXORjo734Gnq_c/edit?usp=share_li"&amp;"nk"",""เชียงราย!n303"")
+IMPORTRANGE(""https://docs.google.com/spreadsheets/d/1Jgv0Y7YlHDtsiDawwp-uvifEJ8HVaSn0k2aGHG8-hwM/edit?usp=share_link"",""เชียงใหม่!n303"")+IMPORTRANGE(""https://docs.google.com/spreadsheets/d/1JWG2rZePOz9pe-f-ObA-yDr0VoOX2kSb0qIi"&amp;"x2mTUo8/edit?usp=share_link"",""ตาก!n303"")+IMPORTRANGE(""https://docs.google.com/spreadsheets/d/10nSRjK08hx8Y6HgSOQKNw81lyY46Zc7U_Cj72hBMp9U/edit?usp=share_link"",""นครสวรรค์!n303"")+IMPORTRANGE(""https://docs.google.com/spreadsheets/d/1gFVb7qd7amutrIxAA"&amp;"oM7lcy35hllxznovot8lyOfvDo/edit?usp=share_link"",""น่าน!n303"")+IMPORTRANGE(""https://docs.google.com/spreadsheets/d/1K0Aa9s-6EuHE5M0FG1F9aHLXRCOV917xvycTdLdct0w/edit?usp=share_link"",""พะเยา!n303"")+IMPORTRANGE(""https://docs.google.com/spreadsheets/d/1Y"&amp;"9LPKx95PyL5OKy09d-KbKJSuuEZCFdkhYjwC0XQjBA/edit?usp=share_link"",""พิจิตร!n303"")+IMPORTRANGE(""https://docs.google.com/spreadsheets/d/16OMuOwy2eVqZcYWOouQtTpa8X1L23h4660uVHc0C8os/edit?usp=share_link"",""พิษณุโลก!n303"")+IMPORTRANGE(""https://docs.google."&amp;"com/spreadsheets/d/1GfgTldLG6k77HXaMQzaafODklYuucJZQNs_GAPEfZyY/edit?usp=share_link"",""เพชรบูรณ์!n303"")+IMPORTRANGE(""https://docs.google.com/spreadsheets/d/1gvTMYAnm7v1yG1BKWFtr0DnaTsq59oW9dwWvFgq6hs0/edit?usp=share_link"",""แพร่!n303"")+IMPORTRANGE("""&amp;"https://docs.google.com/spreadsheets/d/1Wbcosgy-Xa1xXUArJSOenub6EfZHUSzc_bpJFWwQUf0/edit?usp=share_link"",""แม่ฮ่องสอน!n303"")+IMPORTRANGE(""https://docs.google.com/spreadsheets/d/1p7ERhsr0qZeSn-KSOdeHS9r0heI-lHtkcn2OH7hP0jQ/edit?usp=share_link"",""ลำปาง!"&amp;"n303"")+IMPORTRANGE(""https://docs.google.com/spreadsheets/d/1-uUXvimVhiU2U0bMN-xi2te0tS4X7DI2GLPnMjzl8cA/edit?usp=share_link"",""ลำพูน!n303"")+IMPORTRANGE(""https://docs.google.com/spreadsheets/d/17HrOaa5pBUI1onckFfumXB8xlg35qb2uBAFfF1D-Myo/edit?usp=shar"&amp;"e_link"",""สุโขทัย!n303"")+IMPORTRANGE(""https://docs.google.com/spreadsheets/d/1ubs5cl16eYL9gHbdHTJtmtYb9MGzHBs7CAphn8kNCgM/edit?usp=share_link"",""อุตรดิตถ์!n303"")+IMPORTRANGE(""https://docs.google.com/spreadsheets/d/1kII0BjS6CtVrBvI8IrytgPdxDrlyQDyigz"&amp;"MsohRtDMs/edit?usp=share_link"",""อุทัยธานี!n303"")
"),871044.33)</f>
        <v>871044.33</v>
      </c>
      <c r="O303" s="45">
        <f t="shared" ca="1" si="161"/>
        <v>39.049777189993726</v>
      </c>
      <c r="P303" s="45">
        <f t="shared" ca="1" si="162"/>
        <v>52.077264737534378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6">L305+L306</f>
        <v>0</v>
      </c>
      <c r="M304" s="38">
        <f t="shared" ca="1" si="166"/>
        <v>0</v>
      </c>
      <c r="N304" s="38">
        <f t="shared" ca="1" si="166"/>
        <v>0</v>
      </c>
      <c r="O304" s="38">
        <f t="shared" ca="1" si="161"/>
        <v>0</v>
      </c>
      <c r="P304" s="38">
        <f t="shared" ca="1" si="162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1"/>
        <v>0</v>
      </c>
      <c r="P305" s="45">
        <f t="shared" si="162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xicF4apzSqm0-jIpmueT4kyZtE-Cwn5zskl7GD4loQ/edit?usp=share_link"",""กำแพงเพชร!l306"")+IMPORTRANGE(""https://docs.google.com/spreadsheets/d/1ZNYWeiFoFA1K1U4xKWqRX29MBvEyRHXORjo734Gnq_c/edit?usp=share_li"&amp;"nk"",""เชียงราย!l306"")
+IMPORTRANGE(""https://docs.google.com/spreadsheets/d/1Jgv0Y7YlHDtsiDawwp-uvifEJ8HVaSn0k2aGHG8-hwM/edit?usp=share_link"",""เชียงใหม่!l306"")+IMPORTRANGE(""https://docs.google.com/spreadsheets/d/1JWG2rZePOz9pe-f-ObA-yDr0VoOX2kSb0qIi"&amp;"x2mTUo8/edit?usp=share_link"",""ตาก!l306"")+IMPORTRANGE(""https://docs.google.com/spreadsheets/d/10nSRjK08hx8Y6HgSOQKNw81lyY46Zc7U_Cj72hBMp9U/edit?usp=share_link"",""นครสวรรค์!l306"")+IMPORTRANGE(""https://docs.google.com/spreadsheets/d/1gFVb7qd7amutrIxAA"&amp;"oM7lcy35hllxznovot8lyOfvDo/edit?usp=share_link"",""น่าน!l306"")+IMPORTRANGE(""https://docs.google.com/spreadsheets/d/1K0Aa9s-6EuHE5M0FG1F9aHLXRCOV917xvycTdLdct0w/edit?usp=share_link"",""พะเยา!l306"")+IMPORTRANGE(""https://docs.google.com/spreadsheets/d/1Y"&amp;"9LPKx95PyL5OKy09d-KbKJSuuEZCFdkhYjwC0XQjBA/edit?usp=share_link"",""พิจิตร!l306"")+IMPORTRANGE(""https://docs.google.com/spreadsheets/d/16OMuOwy2eVqZcYWOouQtTpa8X1L23h4660uVHc0C8os/edit?usp=share_link"",""พิษณุโลก!l306"")+IMPORTRANGE(""https://docs.google."&amp;"com/spreadsheets/d/1GfgTldLG6k77HXaMQzaafODklYuucJZQNs_GAPEfZyY/edit?usp=share_link"",""เพชรบูรณ์!l306"")+IMPORTRANGE(""https://docs.google.com/spreadsheets/d/1gvTMYAnm7v1yG1BKWFtr0DnaTsq59oW9dwWvFgq6hs0/edit?usp=share_link"",""แพร่!l306"")+IMPORTRANGE("""&amp;"https://docs.google.com/spreadsheets/d/1Wbcosgy-Xa1xXUArJSOenub6EfZHUSzc_bpJFWwQUf0/edit?usp=share_link"",""แม่ฮ่องสอน!l306"")+IMPORTRANGE(""https://docs.google.com/spreadsheets/d/1p7ERhsr0qZeSn-KSOdeHS9r0heI-lHtkcn2OH7hP0jQ/edit?usp=share_link"",""ลำปาง!"&amp;"l306"")+IMPORTRANGE(""https://docs.google.com/spreadsheets/d/1-uUXvimVhiU2U0bMN-xi2te0tS4X7DI2GLPnMjzl8cA/edit?usp=share_link"",""ลำพูน!l306"")+IMPORTRANGE(""https://docs.google.com/spreadsheets/d/17HrOaa5pBUI1onckFfumXB8xlg35qb2uBAFfF1D-Myo/edit?usp=shar"&amp;"e_link"",""สุโขทัย!l306"")+IMPORTRANGE(""https://docs.google.com/spreadsheets/d/1ubs5cl16eYL9gHbdHTJtmtYb9MGzHBs7CAphn8kNCgM/edit?usp=share_link"",""อุตรดิตถ์!l306"")+IMPORTRANGE(""https://docs.google.com/spreadsheets/d/1kII0BjS6CtVrBvI8IrytgPdxDrlyQDyigz"&amp;"MsohRtDMs/edit?usp=share_link"",""อุทัยธานี!l306"")
"),0)</f>
        <v>0</v>
      </c>
      <c r="M306" s="45">
        <f ca="1">IFERROR(__xludf.DUMMYFUNCTION("IMPORTRANGE(""https://docs.google.com/spreadsheets/d/1KxicF4apzSqm0-jIpmueT4kyZtE-Cwn5zskl7GD4loQ/edit?usp=share_link"",""กำแพงเพชร!m306"")+IMPORTRANGE(""https://docs.google.com/spreadsheets/d/1ZNYWeiFoFA1K1U4xKWqRX29MBvEyRHXORjo734Gnq_c/edit?usp=share_li"&amp;"nk"",""เชียงราย!m306"")
+IMPORTRANGE(""https://docs.google.com/spreadsheets/d/1Jgv0Y7YlHDtsiDawwp-uvifEJ8HVaSn0k2aGHG8-hwM/edit?usp=share_link"",""เชียงใหม่!m306"")+IMPORTRANGE(""https://docs.google.com/spreadsheets/d/1JWG2rZePOz9pe-f-ObA-yDr0VoOX2kSb0qIi"&amp;"x2mTUo8/edit?usp=share_link"",""ตาก!m306"")+IMPORTRANGE(""https://docs.google.com/spreadsheets/d/10nSRjK08hx8Y6HgSOQKNw81lyY46Zc7U_Cj72hBMp9U/edit?usp=share_link"",""นครสวรรค์!m306"")+IMPORTRANGE(""https://docs.google.com/spreadsheets/d/1gFVb7qd7amutrIxAA"&amp;"oM7lcy35hllxznovot8lyOfvDo/edit?usp=share_link"",""น่าน!m306"")+IMPORTRANGE(""https://docs.google.com/spreadsheets/d/1K0Aa9s-6EuHE5M0FG1F9aHLXRCOV917xvycTdLdct0w/edit?usp=share_link"",""พะเยา!m306"")+IMPORTRANGE(""https://docs.google.com/spreadsheets/d/1Y"&amp;"9LPKx95PyL5OKy09d-KbKJSuuEZCFdkhYjwC0XQjBA/edit?usp=share_link"",""พิจิตร!m306"")+IMPORTRANGE(""https://docs.google.com/spreadsheets/d/16OMuOwy2eVqZcYWOouQtTpa8X1L23h4660uVHc0C8os/edit?usp=share_link"",""พิษณุโลก!m306"")+IMPORTRANGE(""https://docs.google."&amp;"com/spreadsheets/d/1GfgTldLG6k77HXaMQzaafODklYuucJZQNs_GAPEfZyY/edit?usp=share_link"",""เพชรบูรณ์!m306"")+IMPORTRANGE(""https://docs.google.com/spreadsheets/d/1gvTMYAnm7v1yG1BKWFtr0DnaTsq59oW9dwWvFgq6hs0/edit?usp=share_link"",""แพร่!m306"")+IMPORTRANGE("""&amp;"https://docs.google.com/spreadsheets/d/1Wbcosgy-Xa1xXUArJSOenub6EfZHUSzc_bpJFWwQUf0/edit?usp=share_link"",""แม่ฮ่องสอน!m306"")+IMPORTRANGE(""https://docs.google.com/spreadsheets/d/1p7ERhsr0qZeSn-KSOdeHS9r0heI-lHtkcn2OH7hP0jQ/edit?usp=share_link"",""ลำปาง!"&amp;"m306"")+IMPORTRANGE(""https://docs.google.com/spreadsheets/d/1-uUXvimVhiU2U0bMN-xi2te0tS4X7DI2GLPnMjzl8cA/edit?usp=share_link"",""ลำพูน!m306"")+IMPORTRANGE(""https://docs.google.com/spreadsheets/d/17HrOaa5pBUI1onckFfumXB8xlg35qb2uBAFfF1D-Myo/edit?usp=shar"&amp;"e_link"",""สุโขทัย!m306"")+IMPORTRANGE(""https://docs.google.com/spreadsheets/d/1ubs5cl16eYL9gHbdHTJtmtYb9MGzHBs7CAphn8kNCgM/edit?usp=share_link"",""อุตรดิตถ์!m306"")+IMPORTRANGE(""https://docs.google.com/spreadsheets/d/1kII0BjS6CtVrBvI8IrytgPdxDrlyQDyigz"&amp;"MsohRtDMs/edit?usp=share_link"",""อุทัยธานี!m306"")
"),0)</f>
        <v>0</v>
      </c>
      <c r="N306" s="45">
        <f ca="1">IFERROR(__xludf.DUMMYFUNCTION("IMPORTRANGE(""https://docs.google.com/spreadsheets/d/1KxicF4apzSqm0-jIpmueT4kyZtE-Cwn5zskl7GD4loQ/edit?usp=share_link"",""กำแพงเพชร!n306"")+IMPORTRANGE(""https://docs.google.com/spreadsheets/d/1ZNYWeiFoFA1K1U4xKWqRX29MBvEyRHXORjo734Gnq_c/edit?usp=share_li"&amp;"nk"",""เชียงราย!n306"")
+IMPORTRANGE(""https://docs.google.com/spreadsheets/d/1Jgv0Y7YlHDtsiDawwp-uvifEJ8HVaSn0k2aGHG8-hwM/edit?usp=share_link"",""เชียงใหม่!n306"")+IMPORTRANGE(""https://docs.google.com/spreadsheets/d/1JWG2rZePOz9pe-f-ObA-yDr0VoOX2kSb0qIi"&amp;"x2mTUo8/edit?usp=share_link"",""ตาก!n306"")+IMPORTRANGE(""https://docs.google.com/spreadsheets/d/10nSRjK08hx8Y6HgSOQKNw81lyY46Zc7U_Cj72hBMp9U/edit?usp=share_link"",""นครสวรรค์!n306"")+IMPORTRANGE(""https://docs.google.com/spreadsheets/d/1gFVb7qd7amutrIxAA"&amp;"oM7lcy35hllxznovot8lyOfvDo/edit?usp=share_link"",""น่าน!n306"")+IMPORTRANGE(""https://docs.google.com/spreadsheets/d/1K0Aa9s-6EuHE5M0FG1F9aHLXRCOV917xvycTdLdct0w/edit?usp=share_link"",""พะเยา!n306"")+IMPORTRANGE(""https://docs.google.com/spreadsheets/d/1Y"&amp;"9LPKx95PyL5OKy09d-KbKJSuuEZCFdkhYjwC0XQjBA/edit?usp=share_link"",""พิจิตร!n306"")+IMPORTRANGE(""https://docs.google.com/spreadsheets/d/16OMuOwy2eVqZcYWOouQtTpa8X1L23h4660uVHc0C8os/edit?usp=share_link"",""พิษณุโลก!n306"")+IMPORTRANGE(""https://docs.google."&amp;"com/spreadsheets/d/1GfgTldLG6k77HXaMQzaafODklYuucJZQNs_GAPEfZyY/edit?usp=share_link"",""เพชรบูรณ์!n306"")+IMPORTRANGE(""https://docs.google.com/spreadsheets/d/1gvTMYAnm7v1yG1BKWFtr0DnaTsq59oW9dwWvFgq6hs0/edit?usp=share_link"",""แพร่!n306"")+IMPORTRANGE("""&amp;"https://docs.google.com/spreadsheets/d/1Wbcosgy-Xa1xXUArJSOenub6EfZHUSzc_bpJFWwQUf0/edit?usp=share_link"",""แม่ฮ่องสอน!n306"")+IMPORTRANGE(""https://docs.google.com/spreadsheets/d/1p7ERhsr0qZeSn-KSOdeHS9r0heI-lHtkcn2OH7hP0jQ/edit?usp=share_link"",""ลำปาง!"&amp;"n306"")+IMPORTRANGE(""https://docs.google.com/spreadsheets/d/1-uUXvimVhiU2U0bMN-xi2te0tS4X7DI2GLPnMjzl8cA/edit?usp=share_link"",""ลำพูน!n306"")+IMPORTRANGE(""https://docs.google.com/spreadsheets/d/17HrOaa5pBUI1onckFfumXB8xlg35qb2uBAFfF1D-Myo/edit?usp=shar"&amp;"e_link"",""สุโขทัย!n306"")+IMPORTRANGE(""https://docs.google.com/spreadsheets/d/1ubs5cl16eYL9gHbdHTJtmtYb9MGzHBs7CAphn8kNCgM/edit?usp=share_link"",""อุตรดิตถ์!n306"")+IMPORTRANGE(""https://docs.google.com/spreadsheets/d/1kII0BjS6CtVrBvI8IrytgPdxDrlyQDyigz"&amp;"MsohRtDMs/edit?usp=share_link"",""อุทัยธานี!n306"")
"),0)</f>
        <v>0</v>
      </c>
      <c r="O306" s="45">
        <f t="shared" ca="1" si="161"/>
        <v>0</v>
      </c>
      <c r="P306" s="45">
        <f t="shared" ca="1" si="162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16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xicF4apzSqm0-jIpmueT4kyZtE-Cwn5zskl7GD4loQ/edit?usp=share_link"",""กำแพงเพชร!J308"")+IMPORTRANGE(""https://docs.google.com/spreadsheets/d/1ZNYWeiFoFA1K1U4xKWqRX29MBvEyRHXORjo734Gnq_c/edit?usp=share_li"&amp;"nk"",""เชียงราย!J308"")
+IMPORTRANGE(""https://docs.google.com/spreadsheets/d/1Jgv0Y7YlHDtsiDawwp-uvifEJ8HVaSn0k2aGHG8-hwM/edit?usp=share_link"",""เชียงใหม่!J308"")+IMPORTRANGE(""https://docs.google.com/spreadsheets/d/1JWG2rZePOz9pe-f-ObA-yDr0VoOX2kSb0qIi"&amp;"x2mTUo8/edit?usp=share_link"",""ตาก!J308"")+IMPORTRANGE(""https://docs.google.com/spreadsheets/d/10nSRjK08hx8Y6HgSOQKNw81lyY46Zc7U_Cj72hBMp9U/edit?usp=share_link"",""นครสวรรค์!J308"")+IMPORTRANGE(""https://docs.google.com/spreadsheets/d/1gFVb7qd7amutrIxAA"&amp;"oM7lcy35hllxznovot8lyOfvDo/edit?usp=share_link"",""น่าน!J308"")+IMPORTRANGE(""https://docs.google.com/spreadsheets/d/1K0Aa9s-6EuHE5M0FG1F9aHLXRCOV917xvycTdLdct0w/edit?usp=share_link"",""พะเยา!J308"")+IMPORTRANGE(""https://docs.google.com/spreadsheets/d/1Y"&amp;"9LPKx95PyL5OKy09d-KbKJSuuEZCFdkhYjwC0XQjBA/edit?usp=share_link"",""พิจิตร!J308"")+IMPORTRANGE(""https://docs.google.com/spreadsheets/d/16OMuOwy2eVqZcYWOouQtTpa8X1L23h4660uVHc0C8os/edit?usp=share_link"",""พิษณุโลก!J308"")+IMPORTRANGE(""https://docs.google."&amp;"com/spreadsheets/d/1GfgTldLG6k77HXaMQzaafODklYuucJZQNs_GAPEfZyY/edit?usp=share_link"",""เพชรบูรณ์!J308"")+IMPORTRANGE(""https://docs.google.com/spreadsheets/d/1gvTMYAnm7v1yG1BKWFtr0DnaTsq59oW9dwWvFgq6hs0/edit?usp=share_link"",""แพร่!J308"")+IMPORTRANGE("""&amp;"https://docs.google.com/spreadsheets/d/1Wbcosgy-Xa1xXUArJSOenub6EfZHUSzc_bpJFWwQUf0/edit?usp=share_link"",""แม่ฮ่องสอน!J308"")+IMPORTRANGE(""https://docs.google.com/spreadsheets/d/1p7ERhsr0qZeSn-KSOdeHS9r0heI-lHtkcn2OH7hP0jQ/edit?usp=share_link"",""ลำปาง!"&amp;"J308"")+IMPORTRANGE(""https://docs.google.com/spreadsheets/d/1-uUXvimVhiU2U0bMN-xi2te0tS4X7DI2GLPnMjzl8cA/edit?usp=share_link"",""ลำพูน!J308"")+IMPORTRANGE(""https://docs.google.com/spreadsheets/d/17HrOaa5pBUI1onckFfumXB8xlg35qb2uBAFfF1D-Myo/edit?usp=shar"&amp;"e_link"",""สุโขทัย!J308"")+IMPORTRANGE(""https://docs.google.com/spreadsheets/d/1ubs5cl16eYL9gHbdHTJtmtYb9MGzHBs7CAphn8kNCgM/edit?usp=share_link"",""อุตรดิตถ์!J308"")+IMPORTRANGE(""https://docs.google.com/spreadsheets/d/1kII0BjS6CtVrBvI8IrytgPdxDrlyQDyigz"&amp;"MsohRtDMs/edit?usp=share_link"",""อุทัยธานี!J308"")
"),6)</f>
        <v>6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xicF4apzSqm0-jIpmueT4kyZtE-Cwn5zskl7GD4loQ/edit?usp=share_link"",""กำแพงเพชร!I309"")+IMPORTRANGE(""https://docs.google.com/spreadsheets/d/1ZNYWeiFoFA1K1U4xKWqRX29MBvEyRHXORjo734Gnq_c/edit?usp=share_li"&amp;"nk"",""เชียงราย!I309"")
+IMPORTRANGE(""https://docs.google.com/spreadsheets/d/1Jgv0Y7YlHDtsiDawwp-uvifEJ8HVaSn0k2aGHG8-hwM/edit?usp=share_link"",""เชียงใหม่!I309"")+IMPORTRANGE(""https://docs.google.com/spreadsheets/d/1JWG2rZePOz9pe-f-ObA-yDr0VoOX2kSb0qIi"&amp;"x2mTUo8/edit?usp=share_link"",""ตาก!I309"")+IMPORTRANGE(""https://docs.google.com/spreadsheets/d/10nSRjK08hx8Y6HgSOQKNw81lyY46Zc7U_Cj72hBMp9U/edit?usp=share_link"",""นครสวรรค์!I309"")+IMPORTRANGE(""https://docs.google.com/spreadsheets/d/1gFVb7qd7amutrIxAA"&amp;"oM7lcy35hllxznovot8lyOfvDo/edit?usp=share_link"",""น่าน!I309"")+IMPORTRANGE(""https://docs.google.com/spreadsheets/d/1K0Aa9s-6EuHE5M0FG1F9aHLXRCOV917xvycTdLdct0w/edit?usp=share_link"",""พะเยา!I309"")+IMPORTRANGE(""https://docs.google.com/spreadsheets/d/1Y"&amp;"9LPKx95PyL5OKy09d-KbKJSuuEZCFdkhYjwC0XQjBA/edit?usp=share_link"",""พิจิตร!I309"")+IMPORTRANGE(""https://docs.google.com/spreadsheets/d/16OMuOwy2eVqZcYWOouQtTpa8X1L23h4660uVHc0C8os/edit?usp=share_link"",""พิษณุโลก!I309"")+IMPORTRANGE(""https://docs.google."&amp;"com/spreadsheets/d/1GfgTldLG6k77HXaMQzaafODklYuucJZQNs_GAPEfZyY/edit?usp=share_link"",""เพชรบูรณ์!I309"")+IMPORTRANGE(""https://docs.google.com/spreadsheets/d/1gvTMYAnm7v1yG1BKWFtr0DnaTsq59oW9dwWvFgq6hs0/edit?usp=share_link"",""แพร่!I309"")+IMPORTRANGE("""&amp;"https://docs.google.com/spreadsheets/d/1Wbcosgy-Xa1xXUArJSOenub6EfZHUSzc_bpJFWwQUf0/edit?usp=share_link"",""แม่ฮ่องสอน!I309"")+IMPORTRANGE(""https://docs.google.com/spreadsheets/d/1p7ERhsr0qZeSn-KSOdeHS9r0heI-lHtkcn2OH7hP0jQ/edit?usp=share_link"",""ลำปาง!"&amp;"I309"")+IMPORTRANGE(""https://docs.google.com/spreadsheets/d/1-uUXvimVhiU2U0bMN-xi2te0tS4X7DI2GLPnMjzl8cA/edit?usp=share_link"",""ลำพูน!I309"")+IMPORTRANGE(""https://docs.google.com/spreadsheets/d/17HrOaa5pBUI1onckFfumXB8xlg35qb2uBAFfF1D-Myo/edit?usp=shar"&amp;"e_link"",""สุโขทัย!I309"")+IMPORTRANGE(""https://docs.google.com/spreadsheets/d/1ubs5cl16eYL9gHbdHTJtmtYb9MGzHBs7CAphn8kNCgM/edit?usp=share_link"",""อุตรดิตถ์!I309"")+IMPORTRANGE(""https://docs.google.com/spreadsheets/d/1kII0BjS6CtVrBvI8IrytgPdxDrlyQDyigz"&amp;"MsohRtDMs/edit?usp=share_link"",""อุทัยธานี!I309"")
"),230)</f>
        <v>230</v>
      </c>
      <c r="J309" s="183">
        <f ca="1">IFERROR(__xludf.DUMMYFUNCTION("IMPORTRANGE(""https://docs.google.com/spreadsheets/d/1KxicF4apzSqm0-jIpmueT4kyZtE-Cwn5zskl7GD4loQ/edit?usp=share_link"",""กำแพงเพชร!J309"")+IMPORTRANGE(""https://docs.google.com/spreadsheets/d/1ZNYWeiFoFA1K1U4xKWqRX29MBvEyRHXORjo734Gnq_c/edit?usp=share_li"&amp;"nk"",""เชียงราย!J309"")
+IMPORTRANGE(""https://docs.google.com/spreadsheets/d/1Jgv0Y7YlHDtsiDawwp-uvifEJ8HVaSn0k2aGHG8-hwM/edit?usp=share_link"",""เชียงใหม่!J309"")+IMPORTRANGE(""https://docs.google.com/spreadsheets/d/1JWG2rZePOz9pe-f-ObA-yDr0VoOX2kSb0qIi"&amp;"x2mTUo8/edit?usp=share_link"",""ตาก!J309"")+IMPORTRANGE(""https://docs.google.com/spreadsheets/d/10nSRjK08hx8Y6HgSOQKNw81lyY46Zc7U_Cj72hBMp9U/edit?usp=share_link"",""นครสวรรค์!J309"")+IMPORTRANGE(""https://docs.google.com/spreadsheets/d/1gFVb7qd7amutrIxAA"&amp;"oM7lcy35hllxznovot8lyOfvDo/edit?usp=share_link"",""น่าน!J309"")+IMPORTRANGE(""https://docs.google.com/spreadsheets/d/1K0Aa9s-6EuHE5M0FG1F9aHLXRCOV917xvycTdLdct0w/edit?usp=share_link"",""พะเยา!J309"")+IMPORTRANGE(""https://docs.google.com/spreadsheets/d/1Y"&amp;"9LPKx95PyL5OKy09d-KbKJSuuEZCFdkhYjwC0XQjBA/edit?usp=share_link"",""พิจิตร!J309"")+IMPORTRANGE(""https://docs.google.com/spreadsheets/d/16OMuOwy2eVqZcYWOouQtTpa8X1L23h4660uVHc0C8os/edit?usp=share_link"",""พิษณุโลก!J309"")+IMPORTRANGE(""https://docs.google."&amp;"com/spreadsheets/d/1GfgTldLG6k77HXaMQzaafODklYuucJZQNs_GAPEfZyY/edit?usp=share_link"",""เพชรบูรณ์!J309"")+IMPORTRANGE(""https://docs.google.com/spreadsheets/d/1gvTMYAnm7v1yG1BKWFtr0DnaTsq59oW9dwWvFgq6hs0/edit?usp=share_link"",""แพร่!J309"")+IMPORTRANGE("""&amp;"https://docs.google.com/spreadsheets/d/1Wbcosgy-Xa1xXUArJSOenub6EfZHUSzc_bpJFWwQUf0/edit?usp=share_link"",""แม่ฮ่องสอน!J309"")+IMPORTRANGE(""https://docs.google.com/spreadsheets/d/1p7ERhsr0qZeSn-KSOdeHS9r0heI-lHtkcn2OH7hP0jQ/edit?usp=share_link"",""ลำปาง!"&amp;"J309"")+IMPORTRANGE(""https://docs.google.com/spreadsheets/d/1-uUXvimVhiU2U0bMN-xi2te0tS4X7DI2GLPnMjzl8cA/edit?usp=share_link"",""ลำพูน!J309"")+IMPORTRANGE(""https://docs.google.com/spreadsheets/d/17HrOaa5pBUI1onckFfumXB8xlg35qb2uBAFfF1D-Myo/edit?usp=shar"&amp;"e_link"",""สุโขทัย!J309"")+IMPORTRANGE(""https://docs.google.com/spreadsheets/d/1ubs5cl16eYL9gHbdHTJtmtYb9MGzHBs7CAphn8kNCgM/edit?usp=share_link"",""อุตรดิตถ์!J309"")+IMPORTRANGE(""https://docs.google.com/spreadsheets/d/1kII0BjS6CtVrBvI8IrytgPdxDrlyQDyigz"&amp;"MsohRtDMs/edit?usp=share_link"",""อุทัยธานี!J309"")
"),190)</f>
        <v>190</v>
      </c>
      <c r="K309" s="38">
        <f t="shared" ref="K309:K312" ca="1" si="167">IF(I309&gt;0,J309*100/I309,0)</f>
        <v>82.608695652173907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16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xicF4apzSqm0-jIpmueT4kyZtE-Cwn5zskl7GD4loQ/edit?usp=share_link"",""กำแพงเพชร!I310"")+IMPORTRANGE(""https://docs.google.com/spreadsheets/d/1ZNYWeiFoFA1K1U4xKWqRX29MBvEyRHXORjo734Gnq_c/edit?usp=share_li"&amp;"nk"",""เชียงราย!I310"")
+IMPORTRANGE(""https://docs.google.com/spreadsheets/d/1Jgv0Y7YlHDtsiDawwp-uvifEJ8HVaSn0k2aGHG8-hwM/edit?usp=share_link"",""เชียงใหม่!I310"")+IMPORTRANGE(""https://docs.google.com/spreadsheets/d/1JWG2rZePOz9pe-f-ObA-yDr0VoOX2kSb0qIi"&amp;"x2mTUo8/edit?usp=share_link"",""ตาก!I310"")+IMPORTRANGE(""https://docs.google.com/spreadsheets/d/10nSRjK08hx8Y6HgSOQKNw81lyY46Zc7U_Cj72hBMp9U/edit?usp=share_link"",""นครสวรรค์!I310"")+IMPORTRANGE(""https://docs.google.com/spreadsheets/d/1gFVb7qd7amutrIxAA"&amp;"oM7lcy35hllxznovot8lyOfvDo/edit?usp=share_link"",""น่าน!I310"")+IMPORTRANGE(""https://docs.google.com/spreadsheets/d/1K0Aa9s-6EuHE5M0FG1F9aHLXRCOV917xvycTdLdct0w/edit?usp=share_link"",""พะเยา!I310"")+IMPORTRANGE(""https://docs.google.com/spreadsheets/d/1Y"&amp;"9LPKx95PyL5OKy09d-KbKJSuuEZCFdkhYjwC0XQjBA/edit?usp=share_link"",""พิจิตร!I310"")+IMPORTRANGE(""https://docs.google.com/spreadsheets/d/16OMuOwy2eVqZcYWOouQtTpa8X1L23h4660uVHc0C8os/edit?usp=share_link"",""พิษณุโลก!I310"")+IMPORTRANGE(""https://docs.google."&amp;"com/spreadsheets/d/1GfgTldLG6k77HXaMQzaafODklYuucJZQNs_GAPEfZyY/edit?usp=share_link"",""เพชรบูรณ์!I310"")+IMPORTRANGE(""https://docs.google.com/spreadsheets/d/1gvTMYAnm7v1yG1BKWFtr0DnaTsq59oW9dwWvFgq6hs0/edit?usp=share_link"",""แพร่!I310"")+IMPORTRANGE("""&amp;"https://docs.google.com/spreadsheets/d/1Wbcosgy-Xa1xXUArJSOenub6EfZHUSzc_bpJFWwQUf0/edit?usp=share_link"",""แม่ฮ่องสอน!I310"")+IMPORTRANGE(""https://docs.google.com/spreadsheets/d/1p7ERhsr0qZeSn-KSOdeHS9r0heI-lHtkcn2OH7hP0jQ/edit?usp=share_link"",""ลำปาง!"&amp;"I310"")+IMPORTRANGE(""https://docs.google.com/spreadsheets/d/1-uUXvimVhiU2U0bMN-xi2te0tS4X7DI2GLPnMjzl8cA/edit?usp=share_link"",""ลำพูน!I310"")+IMPORTRANGE(""https://docs.google.com/spreadsheets/d/17HrOaa5pBUI1onckFfumXB8xlg35qb2uBAFfF1D-Myo/edit?usp=shar"&amp;"e_link"",""สุโขทัย!I310"")+IMPORTRANGE(""https://docs.google.com/spreadsheets/d/1ubs5cl16eYL9gHbdHTJtmtYb9MGzHBs7CAphn8kNCgM/edit?usp=share_link"",""อุตรดิตถ์!I310"")+IMPORTRANGE(""https://docs.google.com/spreadsheets/d/1kII0BjS6CtVrBvI8IrytgPdxDrlyQDyigz"&amp;"MsohRtDMs/edit?usp=share_link"",""อุทัยธานี!I310"")
"),230)</f>
        <v>230</v>
      </c>
      <c r="J310" s="183">
        <f ca="1">IFERROR(__xludf.DUMMYFUNCTION("IMPORTRANGE(""https://docs.google.com/spreadsheets/d/1KxicF4apzSqm0-jIpmueT4kyZtE-Cwn5zskl7GD4loQ/edit?usp=share_link"",""กำแพงเพชร!J310"")+IMPORTRANGE(""https://docs.google.com/spreadsheets/d/1ZNYWeiFoFA1K1U4xKWqRX29MBvEyRHXORjo734Gnq_c/edit?usp=share_li"&amp;"nk"",""เชียงราย!J310"")
+IMPORTRANGE(""https://docs.google.com/spreadsheets/d/1Jgv0Y7YlHDtsiDawwp-uvifEJ8HVaSn0k2aGHG8-hwM/edit?usp=share_link"",""เชียงใหม่!J310"")+IMPORTRANGE(""https://docs.google.com/spreadsheets/d/1JWG2rZePOz9pe-f-ObA-yDr0VoOX2kSb0qIi"&amp;"x2mTUo8/edit?usp=share_link"",""ตาก!J310"")+IMPORTRANGE(""https://docs.google.com/spreadsheets/d/10nSRjK08hx8Y6HgSOQKNw81lyY46Zc7U_Cj72hBMp9U/edit?usp=share_link"",""นครสวรรค์!J310"")+IMPORTRANGE(""https://docs.google.com/spreadsheets/d/1gFVb7qd7amutrIxAA"&amp;"oM7lcy35hllxznovot8lyOfvDo/edit?usp=share_link"",""น่าน!J310"")+IMPORTRANGE(""https://docs.google.com/spreadsheets/d/1K0Aa9s-6EuHE5M0FG1F9aHLXRCOV917xvycTdLdct0w/edit?usp=share_link"",""พะเยา!J310"")+IMPORTRANGE(""https://docs.google.com/spreadsheets/d/1Y"&amp;"9LPKx95PyL5OKy09d-KbKJSuuEZCFdkhYjwC0XQjBA/edit?usp=share_link"",""พิจิตร!J310"")+IMPORTRANGE(""https://docs.google.com/spreadsheets/d/16OMuOwy2eVqZcYWOouQtTpa8X1L23h4660uVHc0C8os/edit?usp=share_link"",""พิษณุโลก!J310"")+IMPORTRANGE(""https://docs.google."&amp;"com/spreadsheets/d/1GfgTldLG6k77HXaMQzaafODklYuucJZQNs_GAPEfZyY/edit?usp=share_link"",""เพชรบูรณ์!J310"")+IMPORTRANGE(""https://docs.google.com/spreadsheets/d/1gvTMYAnm7v1yG1BKWFtr0DnaTsq59oW9dwWvFgq6hs0/edit?usp=share_link"",""แพร่!J310"")+IMPORTRANGE("""&amp;"https://docs.google.com/spreadsheets/d/1Wbcosgy-Xa1xXUArJSOenub6EfZHUSzc_bpJFWwQUf0/edit?usp=share_link"",""แม่ฮ่องสอน!J310"")+IMPORTRANGE(""https://docs.google.com/spreadsheets/d/1p7ERhsr0qZeSn-KSOdeHS9r0heI-lHtkcn2OH7hP0jQ/edit?usp=share_link"",""ลำปาง!"&amp;"J310"")+IMPORTRANGE(""https://docs.google.com/spreadsheets/d/1-uUXvimVhiU2U0bMN-xi2te0tS4X7DI2GLPnMjzl8cA/edit?usp=share_link"",""ลำพูน!J310"")+IMPORTRANGE(""https://docs.google.com/spreadsheets/d/17HrOaa5pBUI1onckFfumXB8xlg35qb2uBAFfF1D-Myo/edit?usp=shar"&amp;"e_link"",""สุโขทัย!J310"")+IMPORTRANGE(""https://docs.google.com/spreadsheets/d/1ubs5cl16eYL9gHbdHTJtmtYb9MGzHBs7CAphn8kNCgM/edit?usp=share_link"",""อุตรดิตถ์!J310"")+IMPORTRANGE(""https://docs.google.com/spreadsheets/d/1kII0BjS6CtVrBvI8IrytgPdxDrlyQDyigz"&amp;"MsohRtDMs/edit?usp=share_link"",""อุทัยธานี!J310"")
"),105)</f>
        <v>105</v>
      </c>
      <c r="K310" s="38">
        <f t="shared" ca="1" si="167"/>
        <v>45.652173913043477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16" t="s">
        <v>59</v>
      </c>
      <c r="E311" s="177"/>
      <c r="F311" s="177"/>
      <c r="G311" s="179"/>
      <c r="H311" s="417" t="s">
        <v>35</v>
      </c>
      <c r="I311" s="37">
        <f ca="1">IFERROR(__xludf.DUMMYFUNCTION("IMPORTRANGE(""https://docs.google.com/spreadsheets/d/1KxicF4apzSqm0-jIpmueT4kyZtE-Cwn5zskl7GD4loQ/edit?usp=share_link"",""กำแพงเพชร!I311"")+IMPORTRANGE(""https://docs.google.com/spreadsheets/d/1ZNYWeiFoFA1K1U4xKWqRX29MBvEyRHXORjo734Gnq_c/edit?usp=share_li"&amp;"nk"",""เชียงราย!I311"")
+IMPORTRANGE(""https://docs.google.com/spreadsheets/d/1Jgv0Y7YlHDtsiDawwp-uvifEJ8HVaSn0k2aGHG8-hwM/edit?usp=share_link"",""เชียงใหม่!I311"")+IMPORTRANGE(""https://docs.google.com/spreadsheets/d/1JWG2rZePOz9pe-f-ObA-yDr0VoOX2kSb0qIi"&amp;"x2mTUo8/edit?usp=share_link"",""ตาก!I311"")+IMPORTRANGE(""https://docs.google.com/spreadsheets/d/10nSRjK08hx8Y6HgSOQKNw81lyY46Zc7U_Cj72hBMp9U/edit?usp=share_link"",""นครสวรรค์!I311"")+IMPORTRANGE(""https://docs.google.com/spreadsheets/d/1gFVb7qd7amutrIxAA"&amp;"oM7lcy35hllxznovot8lyOfvDo/edit?usp=share_link"",""น่าน!I311"")+IMPORTRANGE(""https://docs.google.com/spreadsheets/d/1K0Aa9s-6EuHE5M0FG1F9aHLXRCOV917xvycTdLdct0w/edit?usp=share_link"",""พะเยา!I311"")+IMPORTRANGE(""https://docs.google.com/spreadsheets/d/1Y"&amp;"9LPKx95PyL5OKy09d-KbKJSuuEZCFdkhYjwC0XQjBA/edit?usp=share_link"",""พิจิตร!I311"")+IMPORTRANGE(""https://docs.google.com/spreadsheets/d/16OMuOwy2eVqZcYWOouQtTpa8X1L23h4660uVHc0C8os/edit?usp=share_link"",""พิษณุโลก!I311"")+IMPORTRANGE(""https://docs.google."&amp;"com/spreadsheets/d/1GfgTldLG6k77HXaMQzaafODklYuucJZQNs_GAPEfZyY/edit?usp=share_link"",""เพชรบูรณ์!I311"")+IMPORTRANGE(""https://docs.google.com/spreadsheets/d/1gvTMYAnm7v1yG1BKWFtr0DnaTsq59oW9dwWvFgq6hs0/edit?usp=share_link"",""แพร่!I311"")+IMPORTRANGE("""&amp;"https://docs.google.com/spreadsheets/d/1Wbcosgy-Xa1xXUArJSOenub6EfZHUSzc_bpJFWwQUf0/edit?usp=share_link"",""แม่ฮ่องสอน!I311"")+IMPORTRANGE(""https://docs.google.com/spreadsheets/d/1p7ERhsr0qZeSn-KSOdeHS9r0heI-lHtkcn2OH7hP0jQ/edit?usp=share_link"",""ลำปาง!"&amp;"I311"")+IMPORTRANGE(""https://docs.google.com/spreadsheets/d/1-uUXvimVhiU2U0bMN-xi2te0tS4X7DI2GLPnMjzl8cA/edit?usp=share_link"",""ลำพูน!I311"")+IMPORTRANGE(""https://docs.google.com/spreadsheets/d/17HrOaa5pBUI1onckFfumXB8xlg35qb2uBAFfF1D-Myo/edit?usp=shar"&amp;"e_link"",""สุโขทัย!I311"")+IMPORTRANGE(""https://docs.google.com/spreadsheets/d/1ubs5cl16eYL9gHbdHTJtmtYb9MGzHBs7CAphn8kNCgM/edit?usp=share_link"",""อุตรดิตถ์!I311"")+IMPORTRANGE(""https://docs.google.com/spreadsheets/d/1kII0BjS6CtVrBvI8IrytgPdxDrlyQDyigz"&amp;"MsohRtDMs/edit?usp=share_link"",""อุทัยธานี!I311"")
"),230)</f>
        <v>230</v>
      </c>
      <c r="J311" s="183">
        <f ca="1">IFERROR(__xludf.DUMMYFUNCTION("IMPORTRANGE(""https://docs.google.com/spreadsheets/d/1KxicF4apzSqm0-jIpmueT4kyZtE-Cwn5zskl7GD4loQ/edit?usp=share_link"",""กำแพงเพชร!J311"")+IMPORTRANGE(""https://docs.google.com/spreadsheets/d/1ZNYWeiFoFA1K1U4xKWqRX29MBvEyRHXORjo734Gnq_c/edit?usp=share_li"&amp;"nk"",""เชียงราย!J311"")
+IMPORTRANGE(""https://docs.google.com/spreadsheets/d/1Jgv0Y7YlHDtsiDawwp-uvifEJ8HVaSn0k2aGHG8-hwM/edit?usp=share_link"",""เชียงใหม่!J311"")+IMPORTRANGE(""https://docs.google.com/spreadsheets/d/1JWG2rZePOz9pe-f-ObA-yDr0VoOX2kSb0qIi"&amp;"x2mTUo8/edit?usp=share_link"",""ตาก!J311"")+IMPORTRANGE(""https://docs.google.com/spreadsheets/d/10nSRjK08hx8Y6HgSOQKNw81lyY46Zc7U_Cj72hBMp9U/edit?usp=share_link"",""นครสวรรค์!J311"")+IMPORTRANGE(""https://docs.google.com/spreadsheets/d/1gFVb7qd7amutrIxAA"&amp;"oM7lcy35hllxznovot8lyOfvDo/edit?usp=share_link"",""น่าน!J311"")+IMPORTRANGE(""https://docs.google.com/spreadsheets/d/1K0Aa9s-6EuHE5M0FG1F9aHLXRCOV917xvycTdLdct0w/edit?usp=share_link"",""พะเยา!J311"")+IMPORTRANGE(""https://docs.google.com/spreadsheets/d/1Y"&amp;"9LPKx95PyL5OKy09d-KbKJSuuEZCFdkhYjwC0XQjBA/edit?usp=share_link"",""พิจิตร!J311"")+IMPORTRANGE(""https://docs.google.com/spreadsheets/d/16OMuOwy2eVqZcYWOouQtTpa8X1L23h4660uVHc0C8os/edit?usp=share_link"",""พิษณุโลก!J311"")+IMPORTRANGE(""https://docs.google."&amp;"com/spreadsheets/d/1GfgTldLG6k77HXaMQzaafODklYuucJZQNs_GAPEfZyY/edit?usp=share_link"",""เพชรบูรณ์!J311"")+IMPORTRANGE(""https://docs.google.com/spreadsheets/d/1gvTMYAnm7v1yG1BKWFtr0DnaTsq59oW9dwWvFgq6hs0/edit?usp=share_link"",""แพร่!J311"")+IMPORTRANGE("""&amp;"https://docs.google.com/spreadsheets/d/1Wbcosgy-Xa1xXUArJSOenub6EfZHUSzc_bpJFWwQUf0/edit?usp=share_link"",""แม่ฮ่องสอน!J311"")+IMPORTRANGE(""https://docs.google.com/spreadsheets/d/1p7ERhsr0qZeSn-KSOdeHS9r0heI-lHtkcn2OH7hP0jQ/edit?usp=share_link"",""ลำปาง!"&amp;"J311"")+IMPORTRANGE(""https://docs.google.com/spreadsheets/d/1-uUXvimVhiU2U0bMN-xi2te0tS4X7DI2GLPnMjzl8cA/edit?usp=share_link"",""ลำพูน!J311"")+IMPORTRANGE(""https://docs.google.com/spreadsheets/d/17HrOaa5pBUI1onckFfumXB8xlg35qb2uBAFfF1D-Myo/edit?usp=shar"&amp;"e_link"",""สุโขทัย!J311"")+IMPORTRANGE(""https://docs.google.com/spreadsheets/d/1ubs5cl16eYL9gHbdHTJtmtYb9MGzHBs7CAphn8kNCgM/edit?usp=share_link"",""อุตรดิตถ์!J311"")+IMPORTRANGE(""https://docs.google.com/spreadsheets/d/1kII0BjS6CtVrBvI8IrytgPdxDrlyQDyigz"&amp;"MsohRtDMs/edit?usp=share_link"",""อุทัยธานี!J311"")
"),0)</f>
        <v>0</v>
      </c>
      <c r="K311" s="38">
        <f t="shared" ca="1" si="167"/>
        <v>0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16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xicF4apzSqm0-jIpmueT4kyZtE-Cwn5zskl7GD4loQ/edit?usp=share_link"",""กำแพงเพชร!I312"")+IMPORTRANGE(""https://docs.google.com/spreadsheets/d/1ZNYWeiFoFA1K1U4xKWqRX29MBvEyRHXORjo734Gnq_c/edit?usp=share_li"&amp;"nk"",""เชียงราย!I312"")
+IMPORTRANGE(""https://docs.google.com/spreadsheets/d/1Jgv0Y7YlHDtsiDawwp-uvifEJ8HVaSn0k2aGHG8-hwM/edit?usp=share_link"",""เชียงใหม่!I312"")+IMPORTRANGE(""https://docs.google.com/spreadsheets/d/1JWG2rZePOz9pe-f-ObA-yDr0VoOX2kSb0qIi"&amp;"x2mTUo8/edit?usp=share_link"",""ตาก!I312"")+IMPORTRANGE(""https://docs.google.com/spreadsheets/d/10nSRjK08hx8Y6HgSOQKNw81lyY46Zc7U_Cj72hBMp9U/edit?usp=share_link"",""นครสวรรค์!I312"")+IMPORTRANGE(""https://docs.google.com/spreadsheets/d/1gFVb7qd7amutrIxAA"&amp;"oM7lcy35hllxznovot8lyOfvDo/edit?usp=share_link"",""น่าน!I312"")+IMPORTRANGE(""https://docs.google.com/spreadsheets/d/1K0Aa9s-6EuHE5M0FG1F9aHLXRCOV917xvycTdLdct0w/edit?usp=share_link"",""พะเยา!I312"")+IMPORTRANGE(""https://docs.google.com/spreadsheets/d/1Y"&amp;"9LPKx95PyL5OKy09d-KbKJSuuEZCFdkhYjwC0XQjBA/edit?usp=share_link"",""พิจิตร!I312"")+IMPORTRANGE(""https://docs.google.com/spreadsheets/d/16OMuOwy2eVqZcYWOouQtTpa8X1L23h4660uVHc0C8os/edit?usp=share_link"",""พิษณุโลก!I312"")+IMPORTRANGE(""https://docs.google."&amp;"com/spreadsheets/d/1GfgTldLG6k77HXaMQzaafODklYuucJZQNs_GAPEfZyY/edit?usp=share_link"",""เพชรบูรณ์!I312"")+IMPORTRANGE(""https://docs.google.com/spreadsheets/d/1gvTMYAnm7v1yG1BKWFtr0DnaTsq59oW9dwWvFgq6hs0/edit?usp=share_link"",""แพร่!I312"")+IMPORTRANGE("""&amp;"https://docs.google.com/spreadsheets/d/1Wbcosgy-Xa1xXUArJSOenub6EfZHUSzc_bpJFWwQUf0/edit?usp=share_link"",""แม่ฮ่องสอน!I312"")+IMPORTRANGE(""https://docs.google.com/spreadsheets/d/1p7ERhsr0qZeSn-KSOdeHS9r0heI-lHtkcn2OH7hP0jQ/edit?usp=share_link"",""ลำปาง!"&amp;"I312"")+IMPORTRANGE(""https://docs.google.com/spreadsheets/d/1-uUXvimVhiU2U0bMN-xi2te0tS4X7DI2GLPnMjzl8cA/edit?usp=share_link"",""ลำพูน!I312"")+IMPORTRANGE(""https://docs.google.com/spreadsheets/d/17HrOaa5pBUI1onckFfumXB8xlg35qb2uBAFfF1D-Myo/edit?usp=shar"&amp;"e_link"",""สุโขทัย!I312"")+IMPORTRANGE(""https://docs.google.com/spreadsheets/d/1ubs5cl16eYL9gHbdHTJtmtYb9MGzHBs7CAphn8kNCgM/edit?usp=share_link"",""อุตรดิตถ์!I312"")+IMPORTRANGE(""https://docs.google.com/spreadsheets/d/1kII0BjS6CtVrBvI8IrytgPdxDrlyQDyigz"&amp;"MsohRtDMs/edit?usp=share_link"",""อุทัยธานี!I312"")
"),46)</f>
        <v>46</v>
      </c>
      <c r="J312" s="183">
        <f ca="1">IFERROR(__xludf.DUMMYFUNCTION("IMPORTRANGE(""https://docs.google.com/spreadsheets/d/1KxicF4apzSqm0-jIpmueT4kyZtE-Cwn5zskl7GD4loQ/edit?usp=share_link"",""กำแพงเพชร!J312"")+IMPORTRANGE(""https://docs.google.com/spreadsheets/d/1ZNYWeiFoFA1K1U4xKWqRX29MBvEyRHXORjo734Gnq_c/edit?usp=share_li"&amp;"nk"",""เชียงราย!J312"")
+IMPORTRANGE(""https://docs.google.com/spreadsheets/d/1Jgv0Y7YlHDtsiDawwp-uvifEJ8HVaSn0k2aGHG8-hwM/edit?usp=share_link"",""เชียงใหม่!J312"")+IMPORTRANGE(""https://docs.google.com/spreadsheets/d/1JWG2rZePOz9pe-f-ObA-yDr0VoOX2kSb0qIi"&amp;"x2mTUo8/edit?usp=share_link"",""ตาก!J312"")+IMPORTRANGE(""https://docs.google.com/spreadsheets/d/10nSRjK08hx8Y6HgSOQKNw81lyY46Zc7U_Cj72hBMp9U/edit?usp=share_link"",""นครสวรรค์!J312"")+IMPORTRANGE(""https://docs.google.com/spreadsheets/d/1gFVb7qd7amutrIxAA"&amp;"oM7lcy35hllxznovot8lyOfvDo/edit?usp=share_link"",""น่าน!J312"")+IMPORTRANGE(""https://docs.google.com/spreadsheets/d/1K0Aa9s-6EuHE5M0FG1F9aHLXRCOV917xvycTdLdct0w/edit?usp=share_link"",""พะเยา!J312"")+IMPORTRANGE(""https://docs.google.com/spreadsheets/d/1Y"&amp;"9LPKx95PyL5OKy09d-KbKJSuuEZCFdkhYjwC0XQjBA/edit?usp=share_link"",""พิจิตร!J312"")+IMPORTRANGE(""https://docs.google.com/spreadsheets/d/16OMuOwy2eVqZcYWOouQtTpa8X1L23h4660uVHc0C8os/edit?usp=share_link"",""พิษณุโลก!J312"")+IMPORTRANGE(""https://docs.google."&amp;"com/spreadsheets/d/1GfgTldLG6k77HXaMQzaafODklYuucJZQNs_GAPEfZyY/edit?usp=share_link"",""เพชรบูรณ์!J312"")+IMPORTRANGE(""https://docs.google.com/spreadsheets/d/1gvTMYAnm7v1yG1BKWFtr0DnaTsq59oW9dwWvFgq6hs0/edit?usp=share_link"",""แพร่!J312"")+IMPORTRANGE("""&amp;"https://docs.google.com/spreadsheets/d/1Wbcosgy-Xa1xXUArJSOenub6EfZHUSzc_bpJFWwQUf0/edit?usp=share_link"",""แม่ฮ่องสอน!J312"")+IMPORTRANGE(""https://docs.google.com/spreadsheets/d/1p7ERhsr0qZeSn-KSOdeHS9r0heI-lHtkcn2OH7hP0jQ/edit?usp=share_link"",""ลำปาง!"&amp;"J312"")+IMPORTRANGE(""https://docs.google.com/spreadsheets/d/1-uUXvimVhiU2U0bMN-xi2te0tS4X7DI2GLPnMjzl8cA/edit?usp=share_link"",""ลำพูน!J312"")+IMPORTRANGE(""https://docs.google.com/spreadsheets/d/17HrOaa5pBUI1onckFfumXB8xlg35qb2uBAFfF1D-Myo/edit?usp=shar"&amp;"e_link"",""สุโขทัย!J312"")+IMPORTRANGE(""https://docs.google.com/spreadsheets/d/1ubs5cl16eYL9gHbdHTJtmtYb9MGzHBs7CAphn8kNCgM/edit?usp=share_link"",""อุตรดิตถ์!J312"")+IMPORTRANGE(""https://docs.google.com/spreadsheets/d/1kII0BjS6CtVrBvI8IrytgPdxDrlyQDyigz"&amp;"MsohRtDMs/edit?usp=share_link"",""อุทัยธานี!J312"")
"),18)</f>
        <v>18</v>
      </c>
      <c r="K312" s="38">
        <f t="shared" ca="1" si="167"/>
        <v>39.130434782608695</v>
      </c>
      <c r="L312" s="38"/>
      <c r="M312" s="38"/>
      <c r="N312" s="38"/>
      <c r="O312" s="38"/>
      <c r="P312" s="38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68">I325</f>
        <v>3</v>
      </c>
      <c r="J314" s="413">
        <f t="shared" ca="1" si="168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9">L316+L317</f>
        <v>459000</v>
      </c>
      <c r="M315" s="155">
        <f t="shared" ca="1" si="169"/>
        <v>342500</v>
      </c>
      <c r="N315" s="155">
        <f t="shared" ca="1" si="169"/>
        <v>154008.20000000001</v>
      </c>
      <c r="O315" s="155">
        <f t="shared" ref="O315:O323" ca="1" si="170">IF(L315&gt;0,N315*100/L315,0)</f>
        <v>33.552984749455341</v>
      </c>
      <c r="P315" s="155">
        <f t="shared" ref="P315:P323" ca="1" si="171">IF(M315&gt;0,N315*100/M315,0)</f>
        <v>44.965897810218983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2">L319+L322</f>
        <v>0</v>
      </c>
      <c r="M316" s="45">
        <f t="shared" si="172"/>
        <v>0</v>
      </c>
      <c r="N316" s="45">
        <f t="shared" si="172"/>
        <v>0</v>
      </c>
      <c r="O316" s="45">
        <f t="shared" si="170"/>
        <v>0</v>
      </c>
      <c r="P316" s="45">
        <f t="shared" si="171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3">L320+L323</f>
        <v>459000</v>
      </c>
      <c r="M317" s="45">
        <f t="shared" ca="1" si="173"/>
        <v>342500</v>
      </c>
      <c r="N317" s="45">
        <f t="shared" ca="1" si="173"/>
        <v>154008.20000000001</v>
      </c>
      <c r="O317" s="45">
        <f t="shared" ca="1" si="170"/>
        <v>33.552984749455341</v>
      </c>
      <c r="P317" s="45">
        <f t="shared" ca="1" si="171"/>
        <v>44.965897810218983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4">L319+L320</f>
        <v>459000</v>
      </c>
      <c r="M318" s="38">
        <f t="shared" ca="1" si="174"/>
        <v>342500</v>
      </c>
      <c r="N318" s="38">
        <f t="shared" ca="1" si="174"/>
        <v>154008.20000000001</v>
      </c>
      <c r="O318" s="38">
        <f t="shared" ca="1" si="170"/>
        <v>33.552984749455341</v>
      </c>
      <c r="P318" s="38">
        <f t="shared" ca="1" si="171"/>
        <v>44.965897810218983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70"/>
        <v>0</v>
      </c>
      <c r="P319" s="45">
        <f t="shared" si="171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xicF4apzSqm0-jIpmueT4kyZtE-Cwn5zskl7GD4loQ/edit?usp=share_link"",""กำแพงเพชร!l320"")+IMPORTRANGE(""https://docs.google.com/spreadsheets/d/1ZNYWeiFoFA1K1U4xKWqRX29MBvEyRHXORjo734Gnq_c/edit?usp=share_li"&amp;"nk"",""เชียงราย!l320"")
+IMPORTRANGE(""https://docs.google.com/spreadsheets/d/1Jgv0Y7YlHDtsiDawwp-uvifEJ8HVaSn0k2aGHG8-hwM/edit?usp=share_link"",""เชียงใหม่!l320"")+IMPORTRANGE(""https://docs.google.com/spreadsheets/d/1JWG2rZePOz9pe-f-ObA-yDr0VoOX2kSb0qIi"&amp;"x2mTUo8/edit?usp=share_link"",""ตาก!l320"")+IMPORTRANGE(""https://docs.google.com/spreadsheets/d/10nSRjK08hx8Y6HgSOQKNw81lyY46Zc7U_Cj72hBMp9U/edit?usp=share_link"",""นครสวรรค์!l320"")+IMPORTRANGE(""https://docs.google.com/spreadsheets/d/1gFVb7qd7amutrIxAA"&amp;"oM7lcy35hllxznovot8lyOfvDo/edit?usp=share_link"",""น่าน!l320"")+IMPORTRANGE(""https://docs.google.com/spreadsheets/d/1K0Aa9s-6EuHE5M0FG1F9aHLXRCOV917xvycTdLdct0w/edit?usp=share_link"",""พะเยา!l320"")+IMPORTRANGE(""https://docs.google.com/spreadsheets/d/1Y"&amp;"9LPKx95PyL5OKy09d-KbKJSuuEZCFdkhYjwC0XQjBA/edit?usp=share_link"",""พิจิตร!l320"")+IMPORTRANGE(""https://docs.google.com/spreadsheets/d/16OMuOwy2eVqZcYWOouQtTpa8X1L23h4660uVHc0C8os/edit?usp=share_link"",""พิษณุโลก!l320"")+IMPORTRANGE(""https://docs.google."&amp;"com/spreadsheets/d/1GfgTldLG6k77HXaMQzaafODklYuucJZQNs_GAPEfZyY/edit?usp=share_link"",""เพชรบูรณ์!l320"")+IMPORTRANGE(""https://docs.google.com/spreadsheets/d/1gvTMYAnm7v1yG1BKWFtr0DnaTsq59oW9dwWvFgq6hs0/edit?usp=share_link"",""แพร่!l320"")+IMPORTRANGE("""&amp;"https://docs.google.com/spreadsheets/d/1Wbcosgy-Xa1xXUArJSOenub6EfZHUSzc_bpJFWwQUf0/edit?usp=share_link"",""แม่ฮ่องสอน!l320"")+IMPORTRANGE(""https://docs.google.com/spreadsheets/d/1p7ERhsr0qZeSn-KSOdeHS9r0heI-lHtkcn2OH7hP0jQ/edit?usp=share_link"",""ลำปาง!"&amp;"l320"")+IMPORTRANGE(""https://docs.google.com/spreadsheets/d/1-uUXvimVhiU2U0bMN-xi2te0tS4X7DI2GLPnMjzl8cA/edit?usp=share_link"",""ลำพูน!l320"")+IMPORTRANGE(""https://docs.google.com/spreadsheets/d/17HrOaa5pBUI1onckFfumXB8xlg35qb2uBAFfF1D-Myo/edit?usp=shar"&amp;"e_link"",""สุโขทัย!l320"")+IMPORTRANGE(""https://docs.google.com/spreadsheets/d/1ubs5cl16eYL9gHbdHTJtmtYb9MGzHBs7CAphn8kNCgM/edit?usp=share_link"",""อุตรดิตถ์!l320"")+IMPORTRANGE(""https://docs.google.com/spreadsheets/d/1kII0BjS6CtVrBvI8IrytgPdxDrlyQDyigz"&amp;"MsohRtDMs/edit?usp=share_link"",""อุทัยธานี!l320"")
"),459000)</f>
        <v>459000</v>
      </c>
      <c r="M320" s="45">
        <f ca="1">IFERROR(__xludf.DUMMYFUNCTION("IMPORTRANGE(""https://docs.google.com/spreadsheets/d/1KxicF4apzSqm0-jIpmueT4kyZtE-Cwn5zskl7GD4loQ/edit?usp=share_link"",""กำแพงเพชร!m320"")+IMPORTRANGE(""https://docs.google.com/spreadsheets/d/1ZNYWeiFoFA1K1U4xKWqRX29MBvEyRHXORjo734Gnq_c/edit?usp=share_li"&amp;"nk"",""เชียงราย!m320"")
+IMPORTRANGE(""https://docs.google.com/spreadsheets/d/1Jgv0Y7YlHDtsiDawwp-uvifEJ8HVaSn0k2aGHG8-hwM/edit?usp=share_link"",""เชียงใหม่!m320"")+IMPORTRANGE(""https://docs.google.com/spreadsheets/d/1JWG2rZePOz9pe-f-ObA-yDr0VoOX2kSb0qIi"&amp;"x2mTUo8/edit?usp=share_link"",""ตาก!m320"")+IMPORTRANGE(""https://docs.google.com/spreadsheets/d/10nSRjK08hx8Y6HgSOQKNw81lyY46Zc7U_Cj72hBMp9U/edit?usp=share_link"",""นครสวรรค์!m320"")+IMPORTRANGE(""https://docs.google.com/spreadsheets/d/1gFVb7qd7amutrIxAA"&amp;"oM7lcy35hllxznovot8lyOfvDo/edit?usp=share_link"",""น่าน!m320"")+IMPORTRANGE(""https://docs.google.com/spreadsheets/d/1K0Aa9s-6EuHE5M0FG1F9aHLXRCOV917xvycTdLdct0w/edit?usp=share_link"",""พะเยา!m320"")+IMPORTRANGE(""https://docs.google.com/spreadsheets/d/1Y"&amp;"9LPKx95PyL5OKy09d-KbKJSuuEZCFdkhYjwC0XQjBA/edit?usp=share_link"",""พิจิตร!m320"")+IMPORTRANGE(""https://docs.google.com/spreadsheets/d/16OMuOwy2eVqZcYWOouQtTpa8X1L23h4660uVHc0C8os/edit?usp=share_link"",""พิษณุโลก!m320"")+IMPORTRANGE(""https://docs.google."&amp;"com/spreadsheets/d/1GfgTldLG6k77HXaMQzaafODklYuucJZQNs_GAPEfZyY/edit?usp=share_link"",""เพชรบูรณ์!m320"")+IMPORTRANGE(""https://docs.google.com/spreadsheets/d/1gvTMYAnm7v1yG1BKWFtr0DnaTsq59oW9dwWvFgq6hs0/edit?usp=share_link"",""แพร่!m320"")+IMPORTRANGE("""&amp;"https://docs.google.com/spreadsheets/d/1Wbcosgy-Xa1xXUArJSOenub6EfZHUSzc_bpJFWwQUf0/edit?usp=share_link"",""แม่ฮ่องสอน!m320"")+IMPORTRANGE(""https://docs.google.com/spreadsheets/d/1p7ERhsr0qZeSn-KSOdeHS9r0heI-lHtkcn2OH7hP0jQ/edit?usp=share_link"",""ลำปาง!"&amp;"m320"")+IMPORTRANGE(""https://docs.google.com/spreadsheets/d/1-uUXvimVhiU2U0bMN-xi2te0tS4X7DI2GLPnMjzl8cA/edit?usp=share_link"",""ลำพูน!m320"")+IMPORTRANGE(""https://docs.google.com/spreadsheets/d/17HrOaa5pBUI1onckFfumXB8xlg35qb2uBAFfF1D-Myo/edit?usp=shar"&amp;"e_link"",""สุโขทัย!m320"")+IMPORTRANGE(""https://docs.google.com/spreadsheets/d/1ubs5cl16eYL9gHbdHTJtmtYb9MGzHBs7CAphn8kNCgM/edit?usp=share_link"",""อุตรดิตถ์!m320"")+IMPORTRANGE(""https://docs.google.com/spreadsheets/d/1kII0BjS6CtVrBvI8IrytgPdxDrlyQDyigz"&amp;"MsohRtDMs/edit?usp=share_link"",""อุทัยธานี!m320"")
"),342500)</f>
        <v>342500</v>
      </c>
      <c r="N320" s="45">
        <f ca="1">IFERROR(__xludf.DUMMYFUNCTION("IMPORTRANGE(""https://docs.google.com/spreadsheets/d/1KxicF4apzSqm0-jIpmueT4kyZtE-Cwn5zskl7GD4loQ/edit?usp=share_link"",""กำแพงเพชร!n320"")+IMPORTRANGE(""https://docs.google.com/spreadsheets/d/1ZNYWeiFoFA1K1U4xKWqRX29MBvEyRHXORjo734Gnq_c/edit?usp=share_li"&amp;"nk"",""เชียงราย!n320"")
+IMPORTRANGE(""https://docs.google.com/spreadsheets/d/1Jgv0Y7YlHDtsiDawwp-uvifEJ8HVaSn0k2aGHG8-hwM/edit?usp=share_link"",""เชียงใหม่!n320"")+IMPORTRANGE(""https://docs.google.com/spreadsheets/d/1JWG2rZePOz9pe-f-ObA-yDr0VoOX2kSb0qIi"&amp;"x2mTUo8/edit?usp=share_link"",""ตาก!n320"")+IMPORTRANGE(""https://docs.google.com/spreadsheets/d/10nSRjK08hx8Y6HgSOQKNw81lyY46Zc7U_Cj72hBMp9U/edit?usp=share_link"",""นครสวรรค์!n320"")+IMPORTRANGE(""https://docs.google.com/spreadsheets/d/1gFVb7qd7amutrIxAA"&amp;"oM7lcy35hllxznovot8lyOfvDo/edit?usp=share_link"",""น่าน!n320"")+IMPORTRANGE(""https://docs.google.com/spreadsheets/d/1K0Aa9s-6EuHE5M0FG1F9aHLXRCOV917xvycTdLdct0w/edit?usp=share_link"",""พะเยา!n320"")+IMPORTRANGE(""https://docs.google.com/spreadsheets/d/1Y"&amp;"9LPKx95PyL5OKy09d-KbKJSuuEZCFdkhYjwC0XQjBA/edit?usp=share_link"",""พิจิตร!n320"")+IMPORTRANGE(""https://docs.google.com/spreadsheets/d/16OMuOwy2eVqZcYWOouQtTpa8X1L23h4660uVHc0C8os/edit?usp=share_link"",""พิษณุโลก!n320"")+IMPORTRANGE(""https://docs.google."&amp;"com/spreadsheets/d/1GfgTldLG6k77HXaMQzaafODklYuucJZQNs_GAPEfZyY/edit?usp=share_link"",""เพชรบูรณ์!n320"")+IMPORTRANGE(""https://docs.google.com/spreadsheets/d/1gvTMYAnm7v1yG1BKWFtr0DnaTsq59oW9dwWvFgq6hs0/edit?usp=share_link"",""แพร่!n320"")+IMPORTRANGE("""&amp;"https://docs.google.com/spreadsheets/d/1Wbcosgy-Xa1xXUArJSOenub6EfZHUSzc_bpJFWwQUf0/edit?usp=share_link"",""แม่ฮ่องสอน!n320"")+IMPORTRANGE(""https://docs.google.com/spreadsheets/d/1p7ERhsr0qZeSn-KSOdeHS9r0heI-lHtkcn2OH7hP0jQ/edit?usp=share_link"",""ลำปาง!"&amp;"n320"")+IMPORTRANGE(""https://docs.google.com/spreadsheets/d/1-uUXvimVhiU2U0bMN-xi2te0tS4X7DI2GLPnMjzl8cA/edit?usp=share_link"",""ลำพูน!n320"")+IMPORTRANGE(""https://docs.google.com/spreadsheets/d/17HrOaa5pBUI1onckFfumXB8xlg35qb2uBAFfF1D-Myo/edit?usp=shar"&amp;"e_link"",""สุโขทัย!n320"")+IMPORTRANGE(""https://docs.google.com/spreadsheets/d/1ubs5cl16eYL9gHbdHTJtmtYb9MGzHBs7CAphn8kNCgM/edit?usp=share_link"",""อุตรดิตถ์!n320"")+IMPORTRANGE(""https://docs.google.com/spreadsheets/d/1kII0BjS6CtVrBvI8IrytgPdxDrlyQDyigz"&amp;"MsohRtDMs/edit?usp=share_link"",""อุทัยธานี!n320"")
"),154008.2)</f>
        <v>154008.20000000001</v>
      </c>
      <c r="O320" s="45">
        <f t="shared" ca="1" si="170"/>
        <v>33.552984749455341</v>
      </c>
      <c r="P320" s="45">
        <f t="shared" ca="1" si="171"/>
        <v>44.965897810218983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5">L322+L323</f>
        <v>0</v>
      </c>
      <c r="M321" s="38">
        <f t="shared" ca="1" si="175"/>
        <v>0</v>
      </c>
      <c r="N321" s="38">
        <f t="shared" ca="1" si="175"/>
        <v>0</v>
      </c>
      <c r="O321" s="38">
        <f t="shared" ca="1" si="170"/>
        <v>0</v>
      </c>
      <c r="P321" s="38">
        <f t="shared" ca="1" si="171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70"/>
        <v>0</v>
      </c>
      <c r="P322" s="45">
        <f t="shared" si="171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xicF4apzSqm0-jIpmueT4kyZtE-Cwn5zskl7GD4loQ/edit?usp=share_link"",""กำแพงเพชร!l323"")+IMPORTRANGE(""https://docs.google.com/spreadsheets/d/1ZNYWeiFoFA1K1U4xKWqRX29MBvEyRHXORjo734Gnq_c/edit?usp=share_li"&amp;"nk"",""เชียงราย!l323"")
+IMPORTRANGE(""https://docs.google.com/spreadsheets/d/1Jgv0Y7YlHDtsiDawwp-uvifEJ8HVaSn0k2aGHG8-hwM/edit?usp=share_link"",""เชียงใหม่!l323"")+IMPORTRANGE(""https://docs.google.com/spreadsheets/d/1JWG2rZePOz9pe-f-ObA-yDr0VoOX2kSb0qIi"&amp;"x2mTUo8/edit?usp=share_link"",""ตาก!l323"")+IMPORTRANGE(""https://docs.google.com/spreadsheets/d/10nSRjK08hx8Y6HgSOQKNw81lyY46Zc7U_Cj72hBMp9U/edit?usp=share_link"",""นครสวรรค์!l323"")+IMPORTRANGE(""https://docs.google.com/spreadsheets/d/1gFVb7qd7amutrIxAA"&amp;"oM7lcy35hllxznovot8lyOfvDo/edit?usp=share_link"",""น่าน!l323"")+IMPORTRANGE(""https://docs.google.com/spreadsheets/d/1K0Aa9s-6EuHE5M0FG1F9aHLXRCOV917xvycTdLdct0w/edit?usp=share_link"",""พะเยา!l323"")+IMPORTRANGE(""https://docs.google.com/spreadsheets/d/1Y"&amp;"9LPKx95PyL5OKy09d-KbKJSuuEZCFdkhYjwC0XQjBA/edit?usp=share_link"",""พิจิตร!l323"")+IMPORTRANGE(""https://docs.google.com/spreadsheets/d/16OMuOwy2eVqZcYWOouQtTpa8X1L23h4660uVHc0C8os/edit?usp=share_link"",""พิษณุโลก!l323"")+IMPORTRANGE(""https://docs.google."&amp;"com/spreadsheets/d/1GfgTldLG6k77HXaMQzaafODklYuucJZQNs_GAPEfZyY/edit?usp=share_link"",""เพชรบูรณ์!l323"")+IMPORTRANGE(""https://docs.google.com/spreadsheets/d/1gvTMYAnm7v1yG1BKWFtr0DnaTsq59oW9dwWvFgq6hs0/edit?usp=share_link"",""แพร่!l323"")+IMPORTRANGE("""&amp;"https://docs.google.com/spreadsheets/d/1Wbcosgy-Xa1xXUArJSOenub6EfZHUSzc_bpJFWwQUf0/edit?usp=share_link"",""แม่ฮ่องสอน!l323"")+IMPORTRANGE(""https://docs.google.com/spreadsheets/d/1p7ERhsr0qZeSn-KSOdeHS9r0heI-lHtkcn2OH7hP0jQ/edit?usp=share_link"",""ลำปาง!"&amp;"l323"")+IMPORTRANGE(""https://docs.google.com/spreadsheets/d/1-uUXvimVhiU2U0bMN-xi2te0tS4X7DI2GLPnMjzl8cA/edit?usp=share_link"",""ลำพูน!l323"")+IMPORTRANGE(""https://docs.google.com/spreadsheets/d/17HrOaa5pBUI1onckFfumXB8xlg35qb2uBAFfF1D-Myo/edit?usp=shar"&amp;"e_link"",""สุโขทัย!l323"")+IMPORTRANGE(""https://docs.google.com/spreadsheets/d/1ubs5cl16eYL9gHbdHTJtmtYb9MGzHBs7CAphn8kNCgM/edit?usp=share_link"",""อุตรดิตถ์!l323"")+IMPORTRANGE(""https://docs.google.com/spreadsheets/d/1kII0BjS6CtVrBvI8IrytgPdxDrlyQDyigz"&amp;"MsohRtDMs/edit?usp=share_link"",""อุทัยธานี!l323"")
"),0)</f>
        <v>0</v>
      </c>
      <c r="M323" s="45">
        <f ca="1">IFERROR(__xludf.DUMMYFUNCTION("IMPORTRANGE(""https://docs.google.com/spreadsheets/d/1KxicF4apzSqm0-jIpmueT4kyZtE-Cwn5zskl7GD4loQ/edit?usp=share_link"",""กำแพงเพชร!m323"")+IMPORTRANGE(""https://docs.google.com/spreadsheets/d/1ZNYWeiFoFA1K1U4xKWqRX29MBvEyRHXORjo734Gnq_c/edit?usp=share_li"&amp;"nk"",""เชียงราย!m323"")
+IMPORTRANGE(""https://docs.google.com/spreadsheets/d/1Jgv0Y7YlHDtsiDawwp-uvifEJ8HVaSn0k2aGHG8-hwM/edit?usp=share_link"",""เชียงใหม่!m323"")+IMPORTRANGE(""https://docs.google.com/spreadsheets/d/1JWG2rZePOz9pe-f-ObA-yDr0VoOX2kSb0qIi"&amp;"x2mTUo8/edit?usp=share_link"",""ตาก!m323"")+IMPORTRANGE(""https://docs.google.com/spreadsheets/d/10nSRjK08hx8Y6HgSOQKNw81lyY46Zc7U_Cj72hBMp9U/edit?usp=share_link"",""นครสวรรค์!m323"")+IMPORTRANGE(""https://docs.google.com/spreadsheets/d/1gFVb7qd7amutrIxAA"&amp;"oM7lcy35hllxznovot8lyOfvDo/edit?usp=share_link"",""น่าน!m323"")+IMPORTRANGE(""https://docs.google.com/spreadsheets/d/1K0Aa9s-6EuHE5M0FG1F9aHLXRCOV917xvycTdLdct0w/edit?usp=share_link"",""พะเยา!m323"")+IMPORTRANGE(""https://docs.google.com/spreadsheets/d/1Y"&amp;"9LPKx95PyL5OKy09d-KbKJSuuEZCFdkhYjwC0XQjBA/edit?usp=share_link"",""พิจิตร!m323"")+IMPORTRANGE(""https://docs.google.com/spreadsheets/d/16OMuOwy2eVqZcYWOouQtTpa8X1L23h4660uVHc0C8os/edit?usp=share_link"",""พิษณุโลก!m323"")+IMPORTRANGE(""https://docs.google."&amp;"com/spreadsheets/d/1GfgTldLG6k77HXaMQzaafODklYuucJZQNs_GAPEfZyY/edit?usp=share_link"",""เพชรบูรณ์!m323"")+IMPORTRANGE(""https://docs.google.com/spreadsheets/d/1gvTMYAnm7v1yG1BKWFtr0DnaTsq59oW9dwWvFgq6hs0/edit?usp=share_link"",""แพร่!m323"")+IMPORTRANGE("""&amp;"https://docs.google.com/spreadsheets/d/1Wbcosgy-Xa1xXUArJSOenub6EfZHUSzc_bpJFWwQUf0/edit?usp=share_link"",""แม่ฮ่องสอน!m323"")+IMPORTRANGE(""https://docs.google.com/spreadsheets/d/1p7ERhsr0qZeSn-KSOdeHS9r0heI-lHtkcn2OH7hP0jQ/edit?usp=share_link"",""ลำปาง!"&amp;"m323"")+IMPORTRANGE(""https://docs.google.com/spreadsheets/d/1-uUXvimVhiU2U0bMN-xi2te0tS4X7DI2GLPnMjzl8cA/edit?usp=share_link"",""ลำพูน!m323"")+IMPORTRANGE(""https://docs.google.com/spreadsheets/d/17HrOaa5pBUI1onckFfumXB8xlg35qb2uBAFfF1D-Myo/edit?usp=shar"&amp;"e_link"",""สุโขทัย!m323"")+IMPORTRANGE(""https://docs.google.com/spreadsheets/d/1ubs5cl16eYL9gHbdHTJtmtYb9MGzHBs7CAphn8kNCgM/edit?usp=share_link"",""อุตรดิตถ์!m323"")+IMPORTRANGE(""https://docs.google.com/spreadsheets/d/1kII0BjS6CtVrBvI8IrytgPdxDrlyQDyigz"&amp;"MsohRtDMs/edit?usp=share_link"",""อุทัยธานี!m323"")
"),0)</f>
        <v>0</v>
      </c>
      <c r="N323" s="45">
        <f ca="1">IFERROR(__xludf.DUMMYFUNCTION("IMPORTRANGE(""https://docs.google.com/spreadsheets/d/1KxicF4apzSqm0-jIpmueT4kyZtE-Cwn5zskl7GD4loQ/edit?usp=share_link"",""กำแพงเพชร!n323"")+IMPORTRANGE(""https://docs.google.com/spreadsheets/d/1ZNYWeiFoFA1K1U4xKWqRX29MBvEyRHXORjo734Gnq_c/edit?usp=share_li"&amp;"nk"",""เชียงราย!n323"")
+IMPORTRANGE(""https://docs.google.com/spreadsheets/d/1Jgv0Y7YlHDtsiDawwp-uvifEJ8HVaSn0k2aGHG8-hwM/edit?usp=share_link"",""เชียงใหม่!n323"")+IMPORTRANGE(""https://docs.google.com/spreadsheets/d/1JWG2rZePOz9pe-f-ObA-yDr0VoOX2kSb0qIi"&amp;"x2mTUo8/edit?usp=share_link"",""ตาก!n323"")+IMPORTRANGE(""https://docs.google.com/spreadsheets/d/10nSRjK08hx8Y6HgSOQKNw81lyY46Zc7U_Cj72hBMp9U/edit?usp=share_link"",""นครสวรรค์!n323"")+IMPORTRANGE(""https://docs.google.com/spreadsheets/d/1gFVb7qd7amutrIxAA"&amp;"oM7lcy35hllxznovot8lyOfvDo/edit?usp=share_link"",""น่าน!n323"")+IMPORTRANGE(""https://docs.google.com/spreadsheets/d/1K0Aa9s-6EuHE5M0FG1F9aHLXRCOV917xvycTdLdct0w/edit?usp=share_link"",""พะเยา!n323"")+IMPORTRANGE(""https://docs.google.com/spreadsheets/d/1Y"&amp;"9LPKx95PyL5OKy09d-KbKJSuuEZCFdkhYjwC0XQjBA/edit?usp=share_link"",""พิจิตร!n323"")+IMPORTRANGE(""https://docs.google.com/spreadsheets/d/16OMuOwy2eVqZcYWOouQtTpa8X1L23h4660uVHc0C8os/edit?usp=share_link"",""พิษณุโลก!n323"")+IMPORTRANGE(""https://docs.google."&amp;"com/spreadsheets/d/1GfgTldLG6k77HXaMQzaafODklYuucJZQNs_GAPEfZyY/edit?usp=share_link"",""เพชรบูรณ์!n323"")+IMPORTRANGE(""https://docs.google.com/spreadsheets/d/1gvTMYAnm7v1yG1BKWFtr0DnaTsq59oW9dwWvFgq6hs0/edit?usp=share_link"",""แพร่!n323"")+IMPORTRANGE("""&amp;"https://docs.google.com/spreadsheets/d/1Wbcosgy-Xa1xXUArJSOenub6EfZHUSzc_bpJFWwQUf0/edit?usp=share_link"",""แม่ฮ่องสอน!n323"")+IMPORTRANGE(""https://docs.google.com/spreadsheets/d/1p7ERhsr0qZeSn-KSOdeHS9r0heI-lHtkcn2OH7hP0jQ/edit?usp=share_link"",""ลำปาง!"&amp;"n323"")+IMPORTRANGE(""https://docs.google.com/spreadsheets/d/1-uUXvimVhiU2U0bMN-xi2te0tS4X7DI2GLPnMjzl8cA/edit?usp=share_link"",""ลำพูน!n323"")+IMPORTRANGE(""https://docs.google.com/spreadsheets/d/17HrOaa5pBUI1onckFfumXB8xlg35qb2uBAFfF1D-Myo/edit?usp=shar"&amp;"e_link"",""สุโขทัย!n323"")+IMPORTRANGE(""https://docs.google.com/spreadsheets/d/1ubs5cl16eYL9gHbdHTJtmtYb9MGzHBs7CAphn8kNCgM/edit?usp=share_link"",""อุตรดิตถ์!n323"")+IMPORTRANGE(""https://docs.google.com/spreadsheets/d/1kII0BjS6CtVrBvI8IrytgPdxDrlyQDyigz"&amp;"MsohRtDMs/edit?usp=share_link"",""อุทัยธานี!n323"")
"),0)</f>
        <v>0</v>
      </c>
      <c r="O323" s="45">
        <f t="shared" ca="1" si="170"/>
        <v>0</v>
      </c>
      <c r="P323" s="45">
        <f t="shared" ca="1" si="171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xicF4apzSqm0-jIpmueT4kyZtE-Cwn5zskl7GD4loQ/edit?usp=share_link"",""กำแพงเพชร!I325"")+IMPORTRANGE(""https://docs.google.com/spreadsheets/d/1ZNYWeiFoFA1K1U4xKWqRX29MBvEyRHXORjo734Gnq_c/edit?usp=share_li"&amp;"nk"",""เชียงราย!I325"")
+IMPORTRANGE(""https://docs.google.com/spreadsheets/d/1Jgv0Y7YlHDtsiDawwp-uvifEJ8HVaSn0k2aGHG8-hwM/edit?usp=share_link"",""เชียงใหม่!I325"")+IMPORTRANGE(""https://docs.google.com/spreadsheets/d/1JWG2rZePOz9pe-f-ObA-yDr0VoOX2kSb0qIi"&amp;"x2mTUo8/edit?usp=share_link"",""ตาก!I325"")+IMPORTRANGE(""https://docs.google.com/spreadsheets/d/10nSRjK08hx8Y6HgSOQKNw81lyY46Zc7U_Cj72hBMp9U/edit?usp=share_link"",""นครสวรรค์!I325"")+IMPORTRANGE(""https://docs.google.com/spreadsheets/d/1gFVb7qd7amutrIxAA"&amp;"oM7lcy35hllxznovot8lyOfvDo/edit?usp=share_link"",""น่าน!I325"")+IMPORTRANGE(""https://docs.google.com/spreadsheets/d/1K0Aa9s-6EuHE5M0FG1F9aHLXRCOV917xvycTdLdct0w/edit?usp=share_link"",""พะเยา!I325"")+IMPORTRANGE(""https://docs.google.com/spreadsheets/d/1Y"&amp;"9LPKx95PyL5OKy09d-KbKJSuuEZCFdkhYjwC0XQjBA/edit?usp=share_link"",""พิจิตร!I325"")+IMPORTRANGE(""https://docs.google.com/spreadsheets/d/16OMuOwy2eVqZcYWOouQtTpa8X1L23h4660uVHc0C8os/edit?usp=share_link"",""พิษณุโลก!I325"")+IMPORTRANGE(""https://docs.google."&amp;"com/spreadsheets/d/1GfgTldLG6k77HXaMQzaafODklYuucJZQNs_GAPEfZyY/edit?usp=share_link"",""เพชรบูรณ์!I325"")+IMPORTRANGE(""https://docs.google.com/spreadsheets/d/1gvTMYAnm7v1yG1BKWFtr0DnaTsq59oW9dwWvFgq6hs0/edit?usp=share_link"",""แพร่!I325"")+IMPORTRANGE("""&amp;"https://docs.google.com/spreadsheets/d/1Wbcosgy-Xa1xXUArJSOenub6EfZHUSzc_bpJFWwQUf0/edit?usp=share_link"",""แม่ฮ่องสอน!I325"")+IMPORTRANGE(""https://docs.google.com/spreadsheets/d/1p7ERhsr0qZeSn-KSOdeHS9r0heI-lHtkcn2OH7hP0jQ/edit?usp=share_link"",""ลำปาง!"&amp;"I325"")+IMPORTRANGE(""https://docs.google.com/spreadsheets/d/1-uUXvimVhiU2U0bMN-xi2te0tS4X7DI2GLPnMjzl8cA/edit?usp=share_link"",""ลำพูน!I325"")+IMPORTRANGE(""https://docs.google.com/spreadsheets/d/17HrOaa5pBUI1onckFfumXB8xlg35qb2uBAFfF1D-Myo/edit?usp=shar"&amp;"e_link"",""สุโขทัย!I325"")+IMPORTRANGE(""https://docs.google.com/spreadsheets/d/1ubs5cl16eYL9gHbdHTJtmtYb9MGzHBs7CAphn8kNCgM/edit?usp=share_link"",""อุตรดิตถ์!I325"")+IMPORTRANGE(""https://docs.google.com/spreadsheets/d/1kII0BjS6CtVrBvI8IrytgPdxDrlyQDyigz"&amp;"MsohRtDMs/edit?usp=share_link"",""อุทัยธานี!I325"")
"),3)</f>
        <v>3</v>
      </c>
      <c r="J325" s="183">
        <f ca="1">IFERROR(__xludf.DUMMYFUNCTION("IMPORTRANGE(""https://docs.google.com/spreadsheets/d/1KxicF4apzSqm0-jIpmueT4kyZtE-Cwn5zskl7GD4loQ/edit?usp=share_link"",""กำแพงเพชร!J325"")+IMPORTRANGE(""https://docs.google.com/spreadsheets/d/1ZNYWeiFoFA1K1U4xKWqRX29MBvEyRHXORjo734Gnq_c/edit?usp=share_li"&amp;"nk"",""เชียงราย!J325"")
+IMPORTRANGE(""https://docs.google.com/spreadsheets/d/1Jgv0Y7YlHDtsiDawwp-uvifEJ8HVaSn0k2aGHG8-hwM/edit?usp=share_link"",""เชียงใหม่!J325"")+IMPORTRANGE(""https://docs.google.com/spreadsheets/d/1JWG2rZePOz9pe-f-ObA-yDr0VoOX2kSb0qIi"&amp;"x2mTUo8/edit?usp=share_link"",""ตาก!J325"")+IMPORTRANGE(""https://docs.google.com/spreadsheets/d/10nSRjK08hx8Y6HgSOQKNw81lyY46Zc7U_Cj72hBMp9U/edit?usp=share_link"",""นครสวรรค์!J325"")+IMPORTRANGE(""https://docs.google.com/spreadsheets/d/1gFVb7qd7amutrIxAA"&amp;"oM7lcy35hllxznovot8lyOfvDo/edit?usp=share_link"",""น่าน!J325"")+IMPORTRANGE(""https://docs.google.com/spreadsheets/d/1K0Aa9s-6EuHE5M0FG1F9aHLXRCOV917xvycTdLdct0w/edit?usp=share_link"",""พะเยา!J325"")+IMPORTRANGE(""https://docs.google.com/spreadsheets/d/1Y"&amp;"9LPKx95PyL5OKy09d-KbKJSuuEZCFdkhYjwC0XQjBA/edit?usp=share_link"",""พิจิตร!J325"")+IMPORTRANGE(""https://docs.google.com/spreadsheets/d/16OMuOwy2eVqZcYWOouQtTpa8X1L23h4660uVHc0C8os/edit?usp=share_link"",""พิษณุโลก!J325"")+IMPORTRANGE(""https://docs.google."&amp;"com/spreadsheets/d/1GfgTldLG6k77HXaMQzaafODklYuucJZQNs_GAPEfZyY/edit?usp=share_link"",""เพชรบูรณ์!J325"")+IMPORTRANGE(""https://docs.google.com/spreadsheets/d/1gvTMYAnm7v1yG1BKWFtr0DnaTsq59oW9dwWvFgq6hs0/edit?usp=share_link"",""แพร่!J325"")+IMPORTRANGE("""&amp;"https://docs.google.com/spreadsheets/d/1Wbcosgy-Xa1xXUArJSOenub6EfZHUSzc_bpJFWwQUf0/edit?usp=share_link"",""แม่ฮ่องสอน!J325"")+IMPORTRANGE(""https://docs.google.com/spreadsheets/d/1p7ERhsr0qZeSn-KSOdeHS9r0heI-lHtkcn2OH7hP0jQ/edit?usp=share_link"",""ลำปาง!"&amp;"J325"")+IMPORTRANGE(""https://docs.google.com/spreadsheets/d/1-uUXvimVhiU2U0bMN-xi2te0tS4X7DI2GLPnMjzl8cA/edit?usp=share_link"",""ลำพูน!J325"")+IMPORTRANGE(""https://docs.google.com/spreadsheets/d/17HrOaa5pBUI1onckFfumXB8xlg35qb2uBAFfF1D-Myo/edit?usp=shar"&amp;"e_link"",""สุโขทัย!J325"")+IMPORTRANGE(""https://docs.google.com/spreadsheets/d/1ubs5cl16eYL9gHbdHTJtmtYb9MGzHBs7CAphn8kNCgM/edit?usp=share_link"",""อุตรดิตถ์!J325"")+IMPORTRANGE(""https://docs.google.com/spreadsheets/d/1kII0BjS6CtVrBvI8IrytgPdxDrlyQDyigz"&amp;"MsohRtDMs/edit?usp=share_link"",""อุทัยธานี!J325"")
"),0)</f>
        <v>0</v>
      </c>
      <c r="K325" s="38">
        <f ca="1">IF(I325&gt;0,J325*100/I325,0)</f>
        <v>0</v>
      </c>
      <c r="L325" s="38"/>
      <c r="M325" s="38"/>
      <c r="N325" s="38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KxicF4apzSqm0-jIpmueT4kyZtE-Cwn5zskl7GD4loQ/edit?usp=share_link"",""กำแพงเพชร!I327"")+IMPORTRANGE(""https://docs.google.com/spreadsheets/d/1ZNYWeiFoFA1K1U4xKWqRX29MBvEyRHXORjo734Gnq_c/edit?usp=share_li"&amp;"nk"",""เชียงราย!I327"")
+IMPORTRANGE(""https://docs.google.com/spreadsheets/d/1Jgv0Y7YlHDtsiDawwp-uvifEJ8HVaSn0k2aGHG8-hwM/edit?usp=share_link"",""เชียงใหม่!I327"")+IMPORTRANGE(""https://docs.google.com/spreadsheets/d/1JWG2rZePOz9pe-f-ObA-yDr0VoOX2kSb0qIi"&amp;"x2mTUo8/edit?usp=share_link"",""ตาก!I327"")+IMPORTRANGE(""https://docs.google.com/spreadsheets/d/10nSRjK08hx8Y6HgSOQKNw81lyY46Zc7U_Cj72hBMp9U/edit?usp=share_link"",""นครสวรรค์!I327"")+IMPORTRANGE(""https://docs.google.com/spreadsheets/d/1gFVb7qd7amutrIxAA"&amp;"oM7lcy35hllxznovot8lyOfvDo/edit?usp=share_link"",""น่าน!I327"")+IMPORTRANGE(""https://docs.google.com/spreadsheets/d/1K0Aa9s-6EuHE5M0FG1F9aHLXRCOV917xvycTdLdct0w/edit?usp=share_link"",""พะเยา!I327"")+IMPORTRANGE(""https://docs.google.com/spreadsheets/d/1Y"&amp;"9LPKx95PyL5OKy09d-KbKJSuuEZCFdkhYjwC0XQjBA/edit?usp=share_link"",""พิจิตร!I327"")+IMPORTRANGE(""https://docs.google.com/spreadsheets/d/16OMuOwy2eVqZcYWOouQtTpa8X1L23h4660uVHc0C8os/edit?usp=share_link"",""พิษณุโลก!I327"")+IMPORTRANGE(""https://docs.google."&amp;"com/spreadsheets/d/1GfgTldLG6k77HXaMQzaafODklYuucJZQNs_GAPEfZyY/edit?usp=share_link"",""เพชรบูรณ์!I327"")+IMPORTRANGE(""https://docs.google.com/spreadsheets/d/1gvTMYAnm7v1yG1BKWFtr0DnaTsq59oW9dwWvFgq6hs0/edit?usp=share_link"",""แพร่!I327"")+IMPORTRANGE("""&amp;"https://docs.google.com/spreadsheets/d/1Wbcosgy-Xa1xXUArJSOenub6EfZHUSzc_bpJFWwQUf0/edit?usp=share_link"",""แม่ฮ่องสอน!I327"")+IMPORTRANGE(""https://docs.google.com/spreadsheets/d/1p7ERhsr0qZeSn-KSOdeHS9r0heI-lHtkcn2OH7hP0jQ/edit?usp=share_link"",""ลำปาง!"&amp;"I327"")+IMPORTRANGE(""https://docs.google.com/spreadsheets/d/1-uUXvimVhiU2U0bMN-xi2te0tS4X7DI2GLPnMjzl8cA/edit?usp=share_link"",""ลำพูน!I327"")+IMPORTRANGE(""https://docs.google.com/spreadsheets/d/17HrOaa5pBUI1onckFfumXB8xlg35qb2uBAFfF1D-Myo/edit?usp=shar"&amp;"e_link"",""สุโขทัย!I327"")+IMPORTRANGE(""https://docs.google.com/spreadsheets/d/1ubs5cl16eYL9gHbdHTJtmtYb9MGzHBs7CAphn8kNCgM/edit?usp=share_link"",""อุตรดิตถ์!I327"")+IMPORTRANGE(""https://docs.google.com/spreadsheets/d/1kII0BjS6CtVrBvI8IrytgPdxDrlyQDyigz"&amp;"MsohRtDMs/edit?usp=share_link"",""อุทัยธานี!I327"")
"),46900)</f>
        <v>46900</v>
      </c>
      <c r="J327" s="413">
        <f ca="1">J338+J341+J342+J343</f>
        <v>36967</v>
      </c>
      <c r="K327" s="414">
        <f ca="1">IF(I327&gt;0,J327*100/I327,0)</f>
        <v>78.820895522388057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6">L329+L330</f>
        <v>3678600</v>
      </c>
      <c r="M328" s="155">
        <f t="shared" ca="1" si="176"/>
        <v>2758950</v>
      </c>
      <c r="N328" s="155">
        <f t="shared" ca="1" si="176"/>
        <v>1202589.1499999999</v>
      </c>
      <c r="O328" s="155">
        <f t="shared" ref="O328:O336" ca="1" si="177">IF(L328&gt;0,N328*100/L328,0)</f>
        <v>32.691489969009943</v>
      </c>
      <c r="P328" s="155">
        <f t="shared" ref="P328:P336" ca="1" si="178">IF(M328&gt;0,N328*100/M328,0)</f>
        <v>43.588653292013262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9">L332+L335</f>
        <v>0</v>
      </c>
      <c r="M329" s="45">
        <f t="shared" si="179"/>
        <v>0</v>
      </c>
      <c r="N329" s="45">
        <f t="shared" si="179"/>
        <v>0</v>
      </c>
      <c r="O329" s="45">
        <f t="shared" si="177"/>
        <v>0</v>
      </c>
      <c r="P329" s="45">
        <f t="shared" si="178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80">L333+L336</f>
        <v>3678600</v>
      </c>
      <c r="M330" s="45">
        <f t="shared" ca="1" si="180"/>
        <v>2758950</v>
      </c>
      <c r="N330" s="45">
        <f t="shared" ca="1" si="180"/>
        <v>1202589.1499999999</v>
      </c>
      <c r="O330" s="45">
        <f t="shared" ca="1" si="177"/>
        <v>32.691489969009943</v>
      </c>
      <c r="P330" s="45">
        <f t="shared" ca="1" si="178"/>
        <v>43.588653292013262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1">L332+L333</f>
        <v>3678600</v>
      </c>
      <c r="M331" s="38">
        <f t="shared" ca="1" si="181"/>
        <v>2758950</v>
      </c>
      <c r="N331" s="38">
        <f t="shared" ca="1" si="181"/>
        <v>1202589.1499999999</v>
      </c>
      <c r="O331" s="38">
        <f t="shared" ca="1" si="177"/>
        <v>32.691489969009943</v>
      </c>
      <c r="P331" s="38">
        <f t="shared" ca="1" si="178"/>
        <v>43.588653292013262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7"/>
        <v>0</v>
      </c>
      <c r="P332" s="45">
        <f t="shared" si="178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xicF4apzSqm0-jIpmueT4kyZtE-Cwn5zskl7GD4loQ/edit?usp=share_link"",""กำแพงเพชร!l333"")+IMPORTRANGE(""https://docs.google.com/spreadsheets/d/1ZNYWeiFoFA1K1U4xKWqRX29MBvEyRHXORjo734Gnq_c/edit?usp=share_li"&amp;"nk"",""เชียงราย!l333"")
+IMPORTRANGE(""https://docs.google.com/spreadsheets/d/1Jgv0Y7YlHDtsiDawwp-uvifEJ8HVaSn0k2aGHG8-hwM/edit?usp=share_link"",""เชียงใหม่!l333"")+IMPORTRANGE(""https://docs.google.com/spreadsheets/d/1JWG2rZePOz9pe-f-ObA-yDr0VoOX2kSb0qIi"&amp;"x2mTUo8/edit?usp=share_link"",""ตาก!l333"")+IMPORTRANGE(""https://docs.google.com/spreadsheets/d/10nSRjK08hx8Y6HgSOQKNw81lyY46Zc7U_Cj72hBMp9U/edit?usp=share_link"",""นครสวรรค์!l333"")+IMPORTRANGE(""https://docs.google.com/spreadsheets/d/1gFVb7qd7amutrIxAA"&amp;"oM7lcy35hllxznovot8lyOfvDo/edit?usp=share_link"",""น่าน!l333"")+IMPORTRANGE(""https://docs.google.com/spreadsheets/d/1K0Aa9s-6EuHE5M0FG1F9aHLXRCOV917xvycTdLdct0w/edit?usp=share_link"",""พะเยา!l333"")+IMPORTRANGE(""https://docs.google.com/spreadsheets/d/1Y"&amp;"9LPKx95PyL5OKy09d-KbKJSuuEZCFdkhYjwC0XQjBA/edit?usp=share_link"",""พิจิตร!l333"")+IMPORTRANGE(""https://docs.google.com/spreadsheets/d/16OMuOwy2eVqZcYWOouQtTpa8X1L23h4660uVHc0C8os/edit?usp=share_link"",""พิษณุโลก!l333"")+IMPORTRANGE(""https://docs.google."&amp;"com/spreadsheets/d/1GfgTldLG6k77HXaMQzaafODklYuucJZQNs_GAPEfZyY/edit?usp=share_link"",""เพชรบูรณ์!l333"")+IMPORTRANGE(""https://docs.google.com/spreadsheets/d/1gvTMYAnm7v1yG1BKWFtr0DnaTsq59oW9dwWvFgq6hs0/edit?usp=share_link"",""แพร่!l333"")+IMPORTRANGE("""&amp;"https://docs.google.com/spreadsheets/d/1Wbcosgy-Xa1xXUArJSOenub6EfZHUSzc_bpJFWwQUf0/edit?usp=share_link"",""แม่ฮ่องสอน!l333"")+IMPORTRANGE(""https://docs.google.com/spreadsheets/d/1p7ERhsr0qZeSn-KSOdeHS9r0heI-lHtkcn2OH7hP0jQ/edit?usp=share_link"",""ลำปาง!"&amp;"l333"")+IMPORTRANGE(""https://docs.google.com/spreadsheets/d/1-uUXvimVhiU2U0bMN-xi2te0tS4X7DI2GLPnMjzl8cA/edit?usp=share_link"",""ลำพูน!l333"")+IMPORTRANGE(""https://docs.google.com/spreadsheets/d/17HrOaa5pBUI1onckFfumXB8xlg35qb2uBAFfF1D-Myo/edit?usp=shar"&amp;"e_link"",""สุโขทัย!l333"")+IMPORTRANGE(""https://docs.google.com/spreadsheets/d/1ubs5cl16eYL9gHbdHTJtmtYb9MGzHBs7CAphn8kNCgM/edit?usp=share_link"",""อุตรดิตถ์!l333"")+IMPORTRANGE(""https://docs.google.com/spreadsheets/d/1kII0BjS6CtVrBvI8IrytgPdxDrlyQDyigz"&amp;"MsohRtDMs/edit?usp=share_link"",""อุทัยธานี!l333"")
"),3678600)</f>
        <v>3678600</v>
      </c>
      <c r="M333" s="45">
        <f ca="1">IFERROR(__xludf.DUMMYFUNCTION("IMPORTRANGE(""https://docs.google.com/spreadsheets/d/1KxicF4apzSqm0-jIpmueT4kyZtE-Cwn5zskl7GD4loQ/edit?usp=share_link"",""กำแพงเพชร!m333"")+IMPORTRANGE(""https://docs.google.com/spreadsheets/d/1ZNYWeiFoFA1K1U4xKWqRX29MBvEyRHXORjo734Gnq_c/edit?usp=share_li"&amp;"nk"",""เชียงราย!m333"")
+IMPORTRANGE(""https://docs.google.com/spreadsheets/d/1Jgv0Y7YlHDtsiDawwp-uvifEJ8HVaSn0k2aGHG8-hwM/edit?usp=share_link"",""เชียงใหม่!m333"")+IMPORTRANGE(""https://docs.google.com/spreadsheets/d/1JWG2rZePOz9pe-f-ObA-yDr0VoOX2kSb0qIi"&amp;"x2mTUo8/edit?usp=share_link"",""ตาก!m333"")+IMPORTRANGE(""https://docs.google.com/spreadsheets/d/10nSRjK08hx8Y6HgSOQKNw81lyY46Zc7U_Cj72hBMp9U/edit?usp=share_link"",""นครสวรรค์!m333"")+IMPORTRANGE(""https://docs.google.com/spreadsheets/d/1gFVb7qd7amutrIxAA"&amp;"oM7lcy35hllxznovot8lyOfvDo/edit?usp=share_link"",""น่าน!m333"")+IMPORTRANGE(""https://docs.google.com/spreadsheets/d/1K0Aa9s-6EuHE5M0FG1F9aHLXRCOV917xvycTdLdct0w/edit?usp=share_link"",""พะเยา!m333"")+IMPORTRANGE(""https://docs.google.com/spreadsheets/d/1Y"&amp;"9LPKx95PyL5OKy09d-KbKJSuuEZCFdkhYjwC0XQjBA/edit?usp=share_link"",""พิจิตร!m333"")+IMPORTRANGE(""https://docs.google.com/spreadsheets/d/16OMuOwy2eVqZcYWOouQtTpa8X1L23h4660uVHc0C8os/edit?usp=share_link"",""พิษณุโลก!m333"")+IMPORTRANGE(""https://docs.google."&amp;"com/spreadsheets/d/1GfgTldLG6k77HXaMQzaafODklYuucJZQNs_GAPEfZyY/edit?usp=share_link"",""เพชรบูรณ์!m333"")+IMPORTRANGE(""https://docs.google.com/spreadsheets/d/1gvTMYAnm7v1yG1BKWFtr0DnaTsq59oW9dwWvFgq6hs0/edit?usp=share_link"",""แพร่!m333"")+IMPORTRANGE("""&amp;"https://docs.google.com/spreadsheets/d/1Wbcosgy-Xa1xXUArJSOenub6EfZHUSzc_bpJFWwQUf0/edit?usp=share_link"",""แม่ฮ่องสอน!m333"")+IMPORTRANGE(""https://docs.google.com/spreadsheets/d/1p7ERhsr0qZeSn-KSOdeHS9r0heI-lHtkcn2OH7hP0jQ/edit?usp=share_link"",""ลำปาง!"&amp;"m333"")+IMPORTRANGE(""https://docs.google.com/spreadsheets/d/1-uUXvimVhiU2U0bMN-xi2te0tS4X7DI2GLPnMjzl8cA/edit?usp=share_link"",""ลำพูน!m333"")+IMPORTRANGE(""https://docs.google.com/spreadsheets/d/17HrOaa5pBUI1onckFfumXB8xlg35qb2uBAFfF1D-Myo/edit?usp=shar"&amp;"e_link"",""สุโขทัย!m333"")+IMPORTRANGE(""https://docs.google.com/spreadsheets/d/1ubs5cl16eYL9gHbdHTJtmtYb9MGzHBs7CAphn8kNCgM/edit?usp=share_link"",""อุตรดิตถ์!m333"")+IMPORTRANGE(""https://docs.google.com/spreadsheets/d/1kII0BjS6CtVrBvI8IrytgPdxDrlyQDyigz"&amp;"MsohRtDMs/edit?usp=share_link"",""อุทัยธานี!m333"")
"),2758950)</f>
        <v>2758950</v>
      </c>
      <c r="N333" s="45">
        <f ca="1">IFERROR(__xludf.DUMMYFUNCTION("IMPORTRANGE(""https://docs.google.com/spreadsheets/d/1KxicF4apzSqm0-jIpmueT4kyZtE-Cwn5zskl7GD4loQ/edit?usp=share_link"",""กำแพงเพชร!n333"")+IMPORTRANGE(""https://docs.google.com/spreadsheets/d/1ZNYWeiFoFA1K1U4xKWqRX29MBvEyRHXORjo734Gnq_c/edit?usp=share_li"&amp;"nk"",""เชียงราย!n333"")
+IMPORTRANGE(""https://docs.google.com/spreadsheets/d/1Jgv0Y7YlHDtsiDawwp-uvifEJ8HVaSn0k2aGHG8-hwM/edit?usp=share_link"",""เชียงใหม่!n333"")+IMPORTRANGE(""https://docs.google.com/spreadsheets/d/1JWG2rZePOz9pe-f-ObA-yDr0VoOX2kSb0qIi"&amp;"x2mTUo8/edit?usp=share_link"",""ตาก!n333"")+IMPORTRANGE(""https://docs.google.com/spreadsheets/d/10nSRjK08hx8Y6HgSOQKNw81lyY46Zc7U_Cj72hBMp9U/edit?usp=share_link"",""นครสวรรค์!n333"")+IMPORTRANGE(""https://docs.google.com/spreadsheets/d/1gFVb7qd7amutrIxAA"&amp;"oM7lcy35hllxznovot8lyOfvDo/edit?usp=share_link"",""น่าน!n333"")+IMPORTRANGE(""https://docs.google.com/spreadsheets/d/1K0Aa9s-6EuHE5M0FG1F9aHLXRCOV917xvycTdLdct0w/edit?usp=share_link"",""พะเยา!n333"")+IMPORTRANGE(""https://docs.google.com/spreadsheets/d/1Y"&amp;"9LPKx95PyL5OKy09d-KbKJSuuEZCFdkhYjwC0XQjBA/edit?usp=share_link"",""พิจิตร!n333"")+IMPORTRANGE(""https://docs.google.com/spreadsheets/d/16OMuOwy2eVqZcYWOouQtTpa8X1L23h4660uVHc0C8os/edit?usp=share_link"",""พิษณุโลก!n333"")+IMPORTRANGE(""https://docs.google."&amp;"com/spreadsheets/d/1GfgTldLG6k77HXaMQzaafODklYuucJZQNs_GAPEfZyY/edit?usp=share_link"",""เพชรบูรณ์!n333"")+IMPORTRANGE(""https://docs.google.com/spreadsheets/d/1gvTMYAnm7v1yG1BKWFtr0DnaTsq59oW9dwWvFgq6hs0/edit?usp=share_link"",""แพร่!n333"")+IMPORTRANGE("""&amp;"https://docs.google.com/spreadsheets/d/1Wbcosgy-Xa1xXUArJSOenub6EfZHUSzc_bpJFWwQUf0/edit?usp=share_link"",""แม่ฮ่องสอน!n333"")+IMPORTRANGE(""https://docs.google.com/spreadsheets/d/1p7ERhsr0qZeSn-KSOdeHS9r0heI-lHtkcn2OH7hP0jQ/edit?usp=share_link"",""ลำปาง!"&amp;"n333"")+IMPORTRANGE(""https://docs.google.com/spreadsheets/d/1-uUXvimVhiU2U0bMN-xi2te0tS4X7DI2GLPnMjzl8cA/edit?usp=share_link"",""ลำพูน!n333"")+IMPORTRANGE(""https://docs.google.com/spreadsheets/d/17HrOaa5pBUI1onckFfumXB8xlg35qb2uBAFfF1D-Myo/edit?usp=shar"&amp;"e_link"",""สุโขทัย!n333"")+IMPORTRANGE(""https://docs.google.com/spreadsheets/d/1ubs5cl16eYL9gHbdHTJtmtYb9MGzHBs7CAphn8kNCgM/edit?usp=share_link"",""อุตรดิตถ์!n333"")+IMPORTRANGE(""https://docs.google.com/spreadsheets/d/1kII0BjS6CtVrBvI8IrytgPdxDrlyQDyigz"&amp;"MsohRtDMs/edit?usp=share_link"",""อุทัยธานี!n333"")
"),1202589.15)</f>
        <v>1202589.1499999999</v>
      </c>
      <c r="O333" s="45">
        <f t="shared" ca="1" si="177"/>
        <v>32.691489969009943</v>
      </c>
      <c r="P333" s="45">
        <f t="shared" ca="1" si="178"/>
        <v>43.588653292013262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2">L335+L336</f>
        <v>0</v>
      </c>
      <c r="M334" s="38">
        <f t="shared" ca="1" si="182"/>
        <v>0</v>
      </c>
      <c r="N334" s="38">
        <f t="shared" ca="1" si="182"/>
        <v>0</v>
      </c>
      <c r="O334" s="38">
        <f t="shared" ca="1" si="177"/>
        <v>0</v>
      </c>
      <c r="P334" s="38">
        <f t="shared" ca="1" si="178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7"/>
        <v>0</v>
      </c>
      <c r="P335" s="45">
        <f t="shared" si="178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xicF4apzSqm0-jIpmueT4kyZtE-Cwn5zskl7GD4loQ/edit?usp=share_link"",""กำแพงเพชร!l336"")+IMPORTRANGE(""https://docs.google.com/spreadsheets/d/1ZNYWeiFoFA1K1U4xKWqRX29MBvEyRHXORjo734Gnq_c/edit?usp=share_li"&amp;"nk"",""เชียงราย!l336"")
+IMPORTRANGE(""https://docs.google.com/spreadsheets/d/1Jgv0Y7YlHDtsiDawwp-uvifEJ8HVaSn0k2aGHG8-hwM/edit?usp=share_link"",""เชียงใหม่!l336"")+IMPORTRANGE(""https://docs.google.com/spreadsheets/d/1JWG2rZePOz9pe-f-ObA-yDr0VoOX2kSb0qIi"&amp;"x2mTUo8/edit?usp=share_link"",""ตาก!l336"")+IMPORTRANGE(""https://docs.google.com/spreadsheets/d/10nSRjK08hx8Y6HgSOQKNw81lyY46Zc7U_Cj72hBMp9U/edit?usp=share_link"",""นครสวรรค์!l336"")+IMPORTRANGE(""https://docs.google.com/spreadsheets/d/1gFVb7qd7amutrIxAA"&amp;"oM7lcy35hllxznovot8lyOfvDo/edit?usp=share_link"",""น่าน!l336"")+IMPORTRANGE(""https://docs.google.com/spreadsheets/d/1K0Aa9s-6EuHE5M0FG1F9aHLXRCOV917xvycTdLdct0w/edit?usp=share_link"",""พะเยา!l336"")+IMPORTRANGE(""https://docs.google.com/spreadsheets/d/1Y"&amp;"9LPKx95PyL5OKy09d-KbKJSuuEZCFdkhYjwC0XQjBA/edit?usp=share_link"",""พิจิตร!l336"")+IMPORTRANGE(""https://docs.google.com/spreadsheets/d/16OMuOwy2eVqZcYWOouQtTpa8X1L23h4660uVHc0C8os/edit?usp=share_link"",""พิษณุโลก!l336"")+IMPORTRANGE(""https://docs.google."&amp;"com/spreadsheets/d/1GfgTldLG6k77HXaMQzaafODklYuucJZQNs_GAPEfZyY/edit?usp=share_link"",""เพชรบูรณ์!l336"")+IMPORTRANGE(""https://docs.google.com/spreadsheets/d/1gvTMYAnm7v1yG1BKWFtr0DnaTsq59oW9dwWvFgq6hs0/edit?usp=share_link"",""แพร่!l336"")+IMPORTRANGE("""&amp;"https://docs.google.com/spreadsheets/d/1Wbcosgy-Xa1xXUArJSOenub6EfZHUSzc_bpJFWwQUf0/edit?usp=share_link"",""แม่ฮ่องสอน!l336"")+IMPORTRANGE(""https://docs.google.com/spreadsheets/d/1p7ERhsr0qZeSn-KSOdeHS9r0heI-lHtkcn2OH7hP0jQ/edit?usp=share_link"",""ลำปาง!"&amp;"l336"")+IMPORTRANGE(""https://docs.google.com/spreadsheets/d/1-uUXvimVhiU2U0bMN-xi2te0tS4X7DI2GLPnMjzl8cA/edit?usp=share_link"",""ลำพูน!l336"")+IMPORTRANGE(""https://docs.google.com/spreadsheets/d/17HrOaa5pBUI1onckFfumXB8xlg35qb2uBAFfF1D-Myo/edit?usp=shar"&amp;"e_link"",""สุโขทัย!l336"")+IMPORTRANGE(""https://docs.google.com/spreadsheets/d/1ubs5cl16eYL9gHbdHTJtmtYb9MGzHBs7CAphn8kNCgM/edit?usp=share_link"",""อุตรดิตถ์!l336"")+IMPORTRANGE(""https://docs.google.com/spreadsheets/d/1kII0BjS6CtVrBvI8IrytgPdxDrlyQDyigz"&amp;"MsohRtDMs/edit?usp=share_link"",""อุทัยธานี!l336"")
"),0)</f>
        <v>0</v>
      </c>
      <c r="M336" s="45">
        <f ca="1">IFERROR(__xludf.DUMMYFUNCTION("IMPORTRANGE(""https://docs.google.com/spreadsheets/d/1KxicF4apzSqm0-jIpmueT4kyZtE-Cwn5zskl7GD4loQ/edit?usp=share_link"",""กำแพงเพชร!m336"")+IMPORTRANGE(""https://docs.google.com/spreadsheets/d/1ZNYWeiFoFA1K1U4xKWqRX29MBvEyRHXORjo734Gnq_c/edit?usp=share_li"&amp;"nk"",""เชียงราย!m336"")
+IMPORTRANGE(""https://docs.google.com/spreadsheets/d/1Jgv0Y7YlHDtsiDawwp-uvifEJ8HVaSn0k2aGHG8-hwM/edit?usp=share_link"",""เชียงใหม่!m336"")+IMPORTRANGE(""https://docs.google.com/spreadsheets/d/1JWG2rZePOz9pe-f-ObA-yDr0VoOX2kSb0qIi"&amp;"x2mTUo8/edit?usp=share_link"",""ตาก!m336"")+IMPORTRANGE(""https://docs.google.com/spreadsheets/d/10nSRjK08hx8Y6HgSOQKNw81lyY46Zc7U_Cj72hBMp9U/edit?usp=share_link"",""นครสวรรค์!m336"")+IMPORTRANGE(""https://docs.google.com/spreadsheets/d/1gFVb7qd7amutrIxAA"&amp;"oM7lcy35hllxznovot8lyOfvDo/edit?usp=share_link"",""น่าน!m336"")+IMPORTRANGE(""https://docs.google.com/spreadsheets/d/1K0Aa9s-6EuHE5M0FG1F9aHLXRCOV917xvycTdLdct0w/edit?usp=share_link"",""พะเยา!m336"")+IMPORTRANGE(""https://docs.google.com/spreadsheets/d/1Y"&amp;"9LPKx95PyL5OKy09d-KbKJSuuEZCFdkhYjwC0XQjBA/edit?usp=share_link"",""พิจิตร!m336"")+IMPORTRANGE(""https://docs.google.com/spreadsheets/d/16OMuOwy2eVqZcYWOouQtTpa8X1L23h4660uVHc0C8os/edit?usp=share_link"",""พิษณุโลก!m336"")+IMPORTRANGE(""https://docs.google."&amp;"com/spreadsheets/d/1GfgTldLG6k77HXaMQzaafODklYuucJZQNs_GAPEfZyY/edit?usp=share_link"",""เพชรบูรณ์!m336"")+IMPORTRANGE(""https://docs.google.com/spreadsheets/d/1gvTMYAnm7v1yG1BKWFtr0DnaTsq59oW9dwWvFgq6hs0/edit?usp=share_link"",""แพร่!m336"")+IMPORTRANGE("""&amp;"https://docs.google.com/spreadsheets/d/1Wbcosgy-Xa1xXUArJSOenub6EfZHUSzc_bpJFWwQUf0/edit?usp=share_link"",""แม่ฮ่องสอน!m336"")+IMPORTRANGE(""https://docs.google.com/spreadsheets/d/1p7ERhsr0qZeSn-KSOdeHS9r0heI-lHtkcn2OH7hP0jQ/edit?usp=share_link"",""ลำปาง!"&amp;"m336"")+IMPORTRANGE(""https://docs.google.com/spreadsheets/d/1-uUXvimVhiU2U0bMN-xi2te0tS4X7DI2GLPnMjzl8cA/edit?usp=share_link"",""ลำพูน!m336"")+IMPORTRANGE(""https://docs.google.com/spreadsheets/d/17HrOaa5pBUI1onckFfumXB8xlg35qb2uBAFfF1D-Myo/edit?usp=shar"&amp;"e_link"",""สุโขทัย!m336"")+IMPORTRANGE(""https://docs.google.com/spreadsheets/d/1ubs5cl16eYL9gHbdHTJtmtYb9MGzHBs7CAphn8kNCgM/edit?usp=share_link"",""อุตรดิตถ์!m336"")+IMPORTRANGE(""https://docs.google.com/spreadsheets/d/1kII0BjS6CtVrBvI8IrytgPdxDrlyQDyigz"&amp;"MsohRtDMs/edit?usp=share_link"",""อุทัยธานี!m336"")
"),0)</f>
        <v>0</v>
      </c>
      <c r="N336" s="45">
        <f ca="1">IFERROR(__xludf.DUMMYFUNCTION("IMPORTRANGE(""https://docs.google.com/spreadsheets/d/1KxicF4apzSqm0-jIpmueT4kyZtE-Cwn5zskl7GD4loQ/edit?usp=share_link"",""กำแพงเพชร!n336"")+IMPORTRANGE(""https://docs.google.com/spreadsheets/d/1ZNYWeiFoFA1K1U4xKWqRX29MBvEyRHXORjo734Gnq_c/edit?usp=share_li"&amp;"nk"",""เชียงราย!n336"")
+IMPORTRANGE(""https://docs.google.com/spreadsheets/d/1Jgv0Y7YlHDtsiDawwp-uvifEJ8HVaSn0k2aGHG8-hwM/edit?usp=share_link"",""เชียงใหม่!n336"")+IMPORTRANGE(""https://docs.google.com/spreadsheets/d/1JWG2rZePOz9pe-f-ObA-yDr0VoOX2kSb0qIi"&amp;"x2mTUo8/edit?usp=share_link"",""ตาก!n336"")+IMPORTRANGE(""https://docs.google.com/spreadsheets/d/10nSRjK08hx8Y6HgSOQKNw81lyY46Zc7U_Cj72hBMp9U/edit?usp=share_link"",""นครสวรรค์!n336"")+IMPORTRANGE(""https://docs.google.com/spreadsheets/d/1gFVb7qd7amutrIxAA"&amp;"oM7lcy35hllxznovot8lyOfvDo/edit?usp=share_link"",""น่าน!n336"")+IMPORTRANGE(""https://docs.google.com/spreadsheets/d/1K0Aa9s-6EuHE5M0FG1F9aHLXRCOV917xvycTdLdct0w/edit?usp=share_link"",""พะเยา!n336"")+IMPORTRANGE(""https://docs.google.com/spreadsheets/d/1Y"&amp;"9LPKx95PyL5OKy09d-KbKJSuuEZCFdkhYjwC0XQjBA/edit?usp=share_link"",""พิจิตร!n336"")+IMPORTRANGE(""https://docs.google.com/spreadsheets/d/16OMuOwy2eVqZcYWOouQtTpa8X1L23h4660uVHc0C8os/edit?usp=share_link"",""พิษณุโลก!n336"")+IMPORTRANGE(""https://docs.google."&amp;"com/spreadsheets/d/1GfgTldLG6k77HXaMQzaafODklYuucJZQNs_GAPEfZyY/edit?usp=share_link"",""เพชรบูรณ์!n336"")+IMPORTRANGE(""https://docs.google.com/spreadsheets/d/1gvTMYAnm7v1yG1BKWFtr0DnaTsq59oW9dwWvFgq6hs0/edit?usp=share_link"",""แพร่!n336"")+IMPORTRANGE("""&amp;"https://docs.google.com/spreadsheets/d/1Wbcosgy-Xa1xXUArJSOenub6EfZHUSzc_bpJFWwQUf0/edit?usp=share_link"",""แม่ฮ่องสอน!n336"")+IMPORTRANGE(""https://docs.google.com/spreadsheets/d/1p7ERhsr0qZeSn-KSOdeHS9r0heI-lHtkcn2OH7hP0jQ/edit?usp=share_link"",""ลำปาง!"&amp;"n336"")+IMPORTRANGE(""https://docs.google.com/spreadsheets/d/1-uUXvimVhiU2U0bMN-xi2te0tS4X7DI2GLPnMjzl8cA/edit?usp=share_link"",""ลำพูน!n336"")+IMPORTRANGE(""https://docs.google.com/spreadsheets/d/17HrOaa5pBUI1onckFfumXB8xlg35qb2uBAFfF1D-Myo/edit?usp=shar"&amp;"e_link"",""สุโขทัย!n336"")+IMPORTRANGE(""https://docs.google.com/spreadsheets/d/1ubs5cl16eYL9gHbdHTJtmtYb9MGzHBs7CAphn8kNCgM/edit?usp=share_link"",""อุตรดิตถ์!n336"")+IMPORTRANGE(""https://docs.google.com/spreadsheets/d/1kII0BjS6CtVrBvI8IrytgPdxDrlyQDyigz"&amp;"MsohRtDMs/edit?usp=share_link"",""อุทัยธานี!n336"")
"),0)</f>
        <v>0</v>
      </c>
      <c r="O336" s="45">
        <f t="shared" ca="1" si="177"/>
        <v>0</v>
      </c>
      <c r="P336" s="45">
        <f t="shared" ca="1" si="178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xicF4apzSqm0-jIpmueT4kyZtE-Cwn5zskl7GD4loQ/edit?usp=share_link"",""กำแพงเพชร!I338"")+IMPORTRANGE(""https://docs.google.com/spreadsheets/d/1ZNYWeiFoFA1K1U4xKWqRX29MBvEyRHXORjo734Gnq_c/edit?usp=share_li"&amp;"nk"",""เชียงราย!I338"")
+IMPORTRANGE(""https://docs.google.com/spreadsheets/d/1Jgv0Y7YlHDtsiDawwp-uvifEJ8HVaSn0k2aGHG8-hwM/edit?usp=share_link"",""เชียงใหม่!I338"")+IMPORTRANGE(""https://docs.google.com/spreadsheets/d/1JWG2rZePOz9pe-f-ObA-yDr0VoOX2kSb0qIi"&amp;"x2mTUo8/edit?usp=share_link"",""ตาก!I338"")+IMPORTRANGE(""https://docs.google.com/spreadsheets/d/10nSRjK08hx8Y6HgSOQKNw81lyY46Zc7U_Cj72hBMp9U/edit?usp=share_link"",""นครสวรรค์!I338"")+IMPORTRANGE(""https://docs.google.com/spreadsheets/d/1gFVb7qd7amutrIxAA"&amp;"oM7lcy35hllxznovot8lyOfvDo/edit?usp=share_link"",""น่าน!I338"")+IMPORTRANGE(""https://docs.google.com/spreadsheets/d/1K0Aa9s-6EuHE5M0FG1F9aHLXRCOV917xvycTdLdct0w/edit?usp=share_link"",""พะเยา!I338"")+IMPORTRANGE(""https://docs.google.com/spreadsheets/d/1Y"&amp;"9LPKx95PyL5OKy09d-KbKJSuuEZCFdkhYjwC0XQjBA/edit?usp=share_link"",""พิจิตร!I338"")+IMPORTRANGE(""https://docs.google.com/spreadsheets/d/16OMuOwy2eVqZcYWOouQtTpa8X1L23h4660uVHc0C8os/edit?usp=share_link"",""พิษณุโลก!I338"")+IMPORTRANGE(""https://docs.google."&amp;"com/spreadsheets/d/1GfgTldLG6k77HXaMQzaafODklYuucJZQNs_GAPEfZyY/edit?usp=share_link"",""เพชรบูรณ์!I338"")+IMPORTRANGE(""https://docs.google.com/spreadsheets/d/1gvTMYAnm7v1yG1BKWFtr0DnaTsq59oW9dwWvFgq6hs0/edit?usp=share_link"",""แพร่!I338"")+IMPORTRANGE("""&amp;"https://docs.google.com/spreadsheets/d/1Wbcosgy-Xa1xXUArJSOenub6EfZHUSzc_bpJFWwQUf0/edit?usp=share_link"",""แม่ฮ่องสอน!I338"")+IMPORTRANGE(""https://docs.google.com/spreadsheets/d/1p7ERhsr0qZeSn-KSOdeHS9r0heI-lHtkcn2OH7hP0jQ/edit?usp=share_link"",""ลำปาง!"&amp;"I338"")+IMPORTRANGE(""https://docs.google.com/spreadsheets/d/1-uUXvimVhiU2U0bMN-xi2te0tS4X7DI2GLPnMjzl8cA/edit?usp=share_link"",""ลำพูน!I338"")+IMPORTRANGE(""https://docs.google.com/spreadsheets/d/17HrOaa5pBUI1onckFfumXB8xlg35qb2uBAFfF1D-Myo/edit?usp=shar"&amp;"e_link"",""สุโขทัย!I338"")+IMPORTRANGE(""https://docs.google.com/spreadsheets/d/1ubs5cl16eYL9gHbdHTJtmtYb9MGzHBs7CAphn8kNCgM/edit?usp=share_link"",""อุตรดิตถ์!I338"")+IMPORTRANGE(""https://docs.google.com/spreadsheets/d/1kII0BjS6CtVrBvI8IrytgPdxDrlyQDyigz"&amp;"MsohRtDMs/edit?usp=share_link"",""อุทัยธานี!I338"")
"),46900)</f>
        <v>46900</v>
      </c>
      <c r="J338" s="270">
        <f ca="1">IFERROR(__xludf.DUMMYFUNCTION("IMPORTRANGE(""https://docs.google.com/spreadsheets/d/1KxicF4apzSqm0-jIpmueT4kyZtE-Cwn5zskl7GD4loQ/edit?usp=share_link"",""กำแพงเพชร!J338"")+IMPORTRANGE(""https://docs.google.com/spreadsheets/d/1ZNYWeiFoFA1K1U4xKWqRX29MBvEyRHXORjo734Gnq_c/edit?usp=share_li"&amp;"nk"",""เชียงราย!J338"")
+IMPORTRANGE(""https://docs.google.com/spreadsheets/d/1Jgv0Y7YlHDtsiDawwp-uvifEJ8HVaSn0k2aGHG8-hwM/edit?usp=share_link"",""เชียงใหม่!J338"")+IMPORTRANGE(""https://docs.google.com/spreadsheets/d/1JWG2rZePOz9pe-f-ObA-yDr0VoOX2kSb0qIi"&amp;"x2mTUo8/edit?usp=share_link"",""ตาก!J338"")+IMPORTRANGE(""https://docs.google.com/spreadsheets/d/10nSRjK08hx8Y6HgSOQKNw81lyY46Zc7U_Cj72hBMp9U/edit?usp=share_link"",""นครสวรรค์!J338"")+IMPORTRANGE(""https://docs.google.com/spreadsheets/d/1gFVb7qd7amutrIxAA"&amp;"oM7lcy35hllxznovot8lyOfvDo/edit?usp=share_link"",""น่าน!J338"")+IMPORTRANGE(""https://docs.google.com/spreadsheets/d/1K0Aa9s-6EuHE5M0FG1F9aHLXRCOV917xvycTdLdct0w/edit?usp=share_link"",""พะเยา!J338"")+IMPORTRANGE(""https://docs.google.com/spreadsheets/d/1Y"&amp;"9LPKx95PyL5OKy09d-KbKJSuuEZCFdkhYjwC0XQjBA/edit?usp=share_link"",""พิจิตร!J338"")+IMPORTRANGE(""https://docs.google.com/spreadsheets/d/16OMuOwy2eVqZcYWOouQtTpa8X1L23h4660uVHc0C8os/edit?usp=share_link"",""พิษณุโลก!J338"")+IMPORTRANGE(""https://docs.google."&amp;"com/spreadsheets/d/1GfgTldLG6k77HXaMQzaafODklYuucJZQNs_GAPEfZyY/edit?usp=share_link"",""เพชรบูรณ์!J338"")+IMPORTRANGE(""https://docs.google.com/spreadsheets/d/1gvTMYAnm7v1yG1BKWFtr0DnaTsq59oW9dwWvFgq6hs0/edit?usp=share_link"",""แพร่!J338"")+IMPORTRANGE("""&amp;"https://docs.google.com/spreadsheets/d/1Wbcosgy-Xa1xXUArJSOenub6EfZHUSzc_bpJFWwQUf0/edit?usp=share_link"",""แม่ฮ่องสอน!J338"")+IMPORTRANGE(""https://docs.google.com/spreadsheets/d/1p7ERhsr0qZeSn-KSOdeHS9r0heI-lHtkcn2OH7hP0jQ/edit?usp=share_link"",""ลำปาง!"&amp;"J338"")+IMPORTRANGE(""https://docs.google.com/spreadsheets/d/1-uUXvimVhiU2U0bMN-xi2te0tS4X7DI2GLPnMjzl8cA/edit?usp=share_link"",""ลำพูน!J338"")+IMPORTRANGE(""https://docs.google.com/spreadsheets/d/17HrOaa5pBUI1onckFfumXB8xlg35qb2uBAFfF1D-Myo/edit?usp=shar"&amp;"e_link"",""สุโขทัย!J338"")+IMPORTRANGE(""https://docs.google.com/spreadsheets/d/1ubs5cl16eYL9gHbdHTJtmtYb9MGzHBs7CAphn8kNCgM/edit?usp=share_link"",""อุตรดิตถ์!J338"")+IMPORTRANGE(""https://docs.google.com/spreadsheets/d/1kII0BjS6CtVrBvI8IrytgPdxDrlyQDyigz"&amp;"MsohRtDMs/edit?usp=share_link"",""อุทัยธานี!J338"")
"),32799)</f>
        <v>32799</v>
      </c>
      <c r="K338" s="38">
        <f ca="1">IF(I338&gt;0,J338*100/I338,0)</f>
        <v>69.933901918976545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xicF4apzSqm0-jIpmueT4kyZtE-Cwn5zskl7GD4loQ/edit?usp=share_link"",""กำแพงเพชร!I340"")+IMPORTRANGE(""https://docs.google.com/spreadsheets/d/1ZNYWeiFoFA1K1U4xKWqRX29MBvEyRHXORjo734Gnq_c/edit?usp=share_li"&amp;"nk"",""เชียงราย!I340"")
+IMPORTRANGE(""https://docs.google.com/spreadsheets/d/1Jgv0Y7YlHDtsiDawwp-uvifEJ8HVaSn0k2aGHG8-hwM/edit?usp=share_link"",""เชียงใหม่!I340"")+IMPORTRANGE(""https://docs.google.com/spreadsheets/d/1JWG2rZePOz9pe-f-ObA-yDr0VoOX2kSb0qIi"&amp;"x2mTUo8/edit?usp=share_link"",""ตาก!I340"")+IMPORTRANGE(""https://docs.google.com/spreadsheets/d/10nSRjK08hx8Y6HgSOQKNw81lyY46Zc7U_Cj72hBMp9U/edit?usp=share_link"",""นครสวรรค์!I340"")+IMPORTRANGE(""https://docs.google.com/spreadsheets/d/1gFVb7qd7amutrIxAA"&amp;"oM7lcy35hllxznovot8lyOfvDo/edit?usp=share_link"",""น่าน!I340"")+IMPORTRANGE(""https://docs.google.com/spreadsheets/d/1K0Aa9s-6EuHE5M0FG1F9aHLXRCOV917xvycTdLdct0w/edit?usp=share_link"",""พะเยา!I340"")+IMPORTRANGE(""https://docs.google.com/spreadsheets/d/1Y"&amp;"9LPKx95PyL5OKy09d-KbKJSuuEZCFdkhYjwC0XQjBA/edit?usp=share_link"",""พิจิตร!I340"")+IMPORTRANGE(""https://docs.google.com/spreadsheets/d/16OMuOwy2eVqZcYWOouQtTpa8X1L23h4660uVHc0C8os/edit?usp=share_link"",""พิษณุโลก!I340"")+IMPORTRANGE(""https://docs.google."&amp;"com/spreadsheets/d/1GfgTldLG6k77HXaMQzaafODklYuucJZQNs_GAPEfZyY/edit?usp=share_link"",""เพชรบูรณ์!I340"")+IMPORTRANGE(""https://docs.google.com/spreadsheets/d/1gvTMYAnm7v1yG1BKWFtr0DnaTsq59oW9dwWvFgq6hs0/edit?usp=share_link"",""แพร่!I340"")+IMPORTRANGE("""&amp;"https://docs.google.com/spreadsheets/d/1Wbcosgy-Xa1xXUArJSOenub6EfZHUSzc_bpJFWwQUf0/edit?usp=share_link"",""แม่ฮ่องสอน!I340"")+IMPORTRANGE(""https://docs.google.com/spreadsheets/d/1p7ERhsr0qZeSn-KSOdeHS9r0heI-lHtkcn2OH7hP0jQ/edit?usp=share_link"",""ลำปาง!"&amp;"I340"")+IMPORTRANGE(""https://docs.google.com/spreadsheets/d/1-uUXvimVhiU2U0bMN-xi2te0tS4X7DI2GLPnMjzl8cA/edit?usp=share_link"",""ลำพูน!I340"")+IMPORTRANGE(""https://docs.google.com/spreadsheets/d/17HrOaa5pBUI1onckFfumXB8xlg35qb2uBAFfF1D-Myo/edit?usp=shar"&amp;"e_link"",""สุโขทัย!I340"")+IMPORTRANGE(""https://docs.google.com/spreadsheets/d/1ubs5cl16eYL9gHbdHTJtmtYb9MGzHBs7CAphn8kNCgM/edit?usp=share_link"",""อุตรดิตถ์!I340"")+IMPORTRANGE(""https://docs.google.com/spreadsheets/d/1kII0BjS6CtVrBvI8IrytgPdxDrlyQDyigz"&amp;"MsohRtDMs/edit?usp=share_link"",""อุทัยธานี!I340"")
"),107)</f>
        <v>107</v>
      </c>
      <c r="J340" s="270">
        <f ca="1">IFERROR(__xludf.DUMMYFUNCTION("IMPORTRANGE(""https://docs.google.com/spreadsheets/d/1KxicF4apzSqm0-jIpmueT4kyZtE-Cwn5zskl7GD4loQ/edit?usp=share_link"",""กำแพงเพชร!J340"")+IMPORTRANGE(""https://docs.google.com/spreadsheets/d/1ZNYWeiFoFA1K1U4xKWqRX29MBvEyRHXORjo734Gnq_c/edit?usp=share_li"&amp;"nk"",""เชียงราย!J340"")
+IMPORTRANGE(""https://docs.google.com/spreadsheets/d/1Jgv0Y7YlHDtsiDawwp-uvifEJ8HVaSn0k2aGHG8-hwM/edit?usp=share_link"",""เชียงใหม่!J340"")+IMPORTRANGE(""https://docs.google.com/spreadsheets/d/1JWG2rZePOz9pe-f-ObA-yDr0VoOX2kSb0qIi"&amp;"x2mTUo8/edit?usp=share_link"",""ตาก!J340"")+IMPORTRANGE(""https://docs.google.com/spreadsheets/d/10nSRjK08hx8Y6HgSOQKNw81lyY46Zc7U_Cj72hBMp9U/edit?usp=share_link"",""นครสวรรค์!J340"")+IMPORTRANGE(""https://docs.google.com/spreadsheets/d/1gFVb7qd7amutrIxAA"&amp;"oM7lcy35hllxznovot8lyOfvDo/edit?usp=share_link"",""น่าน!J340"")+IMPORTRANGE(""https://docs.google.com/spreadsheets/d/1K0Aa9s-6EuHE5M0FG1F9aHLXRCOV917xvycTdLdct0w/edit?usp=share_link"",""พะเยา!J340"")+IMPORTRANGE(""https://docs.google.com/spreadsheets/d/1Y"&amp;"9LPKx95PyL5OKy09d-KbKJSuuEZCFdkhYjwC0XQjBA/edit?usp=share_link"",""พิจิตร!J340"")+IMPORTRANGE(""https://docs.google.com/spreadsheets/d/16OMuOwy2eVqZcYWOouQtTpa8X1L23h4660uVHc0C8os/edit?usp=share_link"",""พิษณุโลก!J340"")+IMPORTRANGE(""https://docs.google."&amp;"com/spreadsheets/d/1GfgTldLG6k77HXaMQzaafODklYuucJZQNs_GAPEfZyY/edit?usp=share_link"",""เพชรบูรณ์!J340"")+IMPORTRANGE(""https://docs.google.com/spreadsheets/d/1gvTMYAnm7v1yG1BKWFtr0DnaTsq59oW9dwWvFgq6hs0/edit?usp=share_link"",""แพร่!J340"")+IMPORTRANGE("""&amp;"https://docs.google.com/spreadsheets/d/1Wbcosgy-Xa1xXUArJSOenub6EfZHUSzc_bpJFWwQUf0/edit?usp=share_link"",""แม่ฮ่องสอน!J340"")+IMPORTRANGE(""https://docs.google.com/spreadsheets/d/1p7ERhsr0qZeSn-KSOdeHS9r0heI-lHtkcn2OH7hP0jQ/edit?usp=share_link"",""ลำปาง!"&amp;"J340"")+IMPORTRANGE(""https://docs.google.com/spreadsheets/d/1-uUXvimVhiU2U0bMN-xi2te0tS4X7DI2GLPnMjzl8cA/edit?usp=share_link"",""ลำพูน!J340"")+IMPORTRANGE(""https://docs.google.com/spreadsheets/d/17HrOaa5pBUI1onckFfumXB8xlg35qb2uBAFfF1D-Myo/edit?usp=shar"&amp;"e_link"",""สุโขทัย!J340"")+IMPORTRANGE(""https://docs.google.com/spreadsheets/d/1ubs5cl16eYL9gHbdHTJtmtYb9MGzHBs7CAphn8kNCgM/edit?usp=share_link"",""อุตรดิตถ์!J340"")+IMPORTRANGE(""https://docs.google.com/spreadsheets/d/1kII0BjS6CtVrBvI8IrytgPdxDrlyQDyigz"&amp;"MsohRtDMs/edit?usp=share_link"",""อุทัยธานี!J340"")
"),52)</f>
        <v>52</v>
      </c>
      <c r="K340" s="38">
        <f ca="1">IF(I340&gt;0,J340*100/I340,0)</f>
        <v>48.598130841121495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xicF4apzSqm0-jIpmueT4kyZtE-Cwn5zskl7GD4loQ/edit?usp=share_link"",""กำแพงเพชร!J341"")+IMPORTRANGE(""https://docs.google.com/spreadsheets/d/1ZNYWeiFoFA1K1U4xKWqRX29MBvEyRHXORjo734Gnq_c/edit?usp=share_li"&amp;"nk"",""เชียงราย!J341"")
+IMPORTRANGE(""https://docs.google.com/spreadsheets/d/1Jgv0Y7YlHDtsiDawwp-uvifEJ8HVaSn0k2aGHG8-hwM/edit?usp=share_link"",""เชียงใหม่!J341"")+IMPORTRANGE(""https://docs.google.com/spreadsheets/d/1JWG2rZePOz9pe-f-ObA-yDr0VoOX2kSb0qIi"&amp;"x2mTUo8/edit?usp=share_link"",""ตาก!J341"")+IMPORTRANGE(""https://docs.google.com/spreadsheets/d/10nSRjK08hx8Y6HgSOQKNw81lyY46Zc7U_Cj72hBMp9U/edit?usp=share_link"",""นครสวรรค์!J341"")+IMPORTRANGE(""https://docs.google.com/spreadsheets/d/1gFVb7qd7amutrIxAA"&amp;"oM7lcy35hllxznovot8lyOfvDo/edit?usp=share_link"",""น่าน!J341"")+IMPORTRANGE(""https://docs.google.com/spreadsheets/d/1K0Aa9s-6EuHE5M0FG1F9aHLXRCOV917xvycTdLdct0w/edit?usp=share_link"",""พะเยา!J341"")+IMPORTRANGE(""https://docs.google.com/spreadsheets/d/1Y"&amp;"9LPKx95PyL5OKy09d-KbKJSuuEZCFdkhYjwC0XQjBA/edit?usp=share_link"",""พิจิตร!J341"")+IMPORTRANGE(""https://docs.google.com/spreadsheets/d/16OMuOwy2eVqZcYWOouQtTpa8X1L23h4660uVHc0C8os/edit?usp=share_link"",""พิษณุโลก!J341"")+IMPORTRANGE(""https://docs.google."&amp;"com/spreadsheets/d/1GfgTldLG6k77HXaMQzaafODklYuucJZQNs_GAPEfZyY/edit?usp=share_link"",""เพชรบูรณ์!J341"")+IMPORTRANGE(""https://docs.google.com/spreadsheets/d/1gvTMYAnm7v1yG1BKWFtr0DnaTsq59oW9dwWvFgq6hs0/edit?usp=share_link"",""แพร่!J341"")+IMPORTRANGE("""&amp;"https://docs.google.com/spreadsheets/d/1Wbcosgy-Xa1xXUArJSOenub6EfZHUSzc_bpJFWwQUf0/edit?usp=share_link"",""แม่ฮ่องสอน!J341"")+IMPORTRANGE(""https://docs.google.com/spreadsheets/d/1p7ERhsr0qZeSn-KSOdeHS9r0heI-lHtkcn2OH7hP0jQ/edit?usp=share_link"",""ลำปาง!"&amp;"J341"")+IMPORTRANGE(""https://docs.google.com/spreadsheets/d/1-uUXvimVhiU2U0bMN-xi2te0tS4X7DI2GLPnMjzl8cA/edit?usp=share_link"",""ลำพูน!J341"")+IMPORTRANGE(""https://docs.google.com/spreadsheets/d/17HrOaa5pBUI1onckFfumXB8xlg35qb2uBAFfF1D-Myo/edit?usp=shar"&amp;"e_link"",""สุโขทัย!J341"")+IMPORTRANGE(""https://docs.google.com/spreadsheets/d/1ubs5cl16eYL9gHbdHTJtmtYb9MGzHBs7CAphn8kNCgM/edit?usp=share_link"",""อุตรดิตถ์!J341"")+IMPORTRANGE(""https://docs.google.com/spreadsheets/d/1kII0BjS6CtVrBvI8IrytgPdxDrlyQDyigz"&amp;"MsohRtDMs/edit?usp=share_link"",""อุทัยธานี!J341"")
"),3432)</f>
        <v>3432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xicF4apzSqm0-jIpmueT4kyZtE-Cwn5zskl7GD4loQ/edit?usp=share_link"",""กำแพงเพชร!J342"")+IMPORTRANGE(""https://docs.google.com/spreadsheets/d/1ZNYWeiFoFA1K1U4xKWqRX29MBvEyRHXORjo734Gnq_c/edit?usp=share_li"&amp;"nk"",""เชียงราย!J342"")
+IMPORTRANGE(""https://docs.google.com/spreadsheets/d/1Jgv0Y7YlHDtsiDawwp-uvifEJ8HVaSn0k2aGHG8-hwM/edit?usp=share_link"",""เชียงใหม่!J342"")+IMPORTRANGE(""https://docs.google.com/spreadsheets/d/1JWG2rZePOz9pe-f-ObA-yDr0VoOX2kSb0qIi"&amp;"x2mTUo8/edit?usp=share_link"",""ตาก!J342"")+IMPORTRANGE(""https://docs.google.com/spreadsheets/d/10nSRjK08hx8Y6HgSOQKNw81lyY46Zc7U_Cj72hBMp9U/edit?usp=share_link"",""นครสวรรค์!J342"")+IMPORTRANGE(""https://docs.google.com/spreadsheets/d/1gFVb7qd7amutrIxAA"&amp;"oM7lcy35hllxznovot8lyOfvDo/edit?usp=share_link"",""น่าน!J342"")+IMPORTRANGE(""https://docs.google.com/spreadsheets/d/1K0Aa9s-6EuHE5M0FG1F9aHLXRCOV917xvycTdLdct0w/edit?usp=share_link"",""พะเยา!J342"")+IMPORTRANGE(""https://docs.google.com/spreadsheets/d/1Y"&amp;"9LPKx95PyL5OKy09d-KbKJSuuEZCFdkhYjwC0XQjBA/edit?usp=share_link"",""พิจิตร!J342"")+IMPORTRANGE(""https://docs.google.com/spreadsheets/d/16OMuOwy2eVqZcYWOouQtTpa8X1L23h4660uVHc0C8os/edit?usp=share_link"",""พิษณุโลก!J342"")+IMPORTRANGE(""https://docs.google."&amp;"com/spreadsheets/d/1GfgTldLG6k77HXaMQzaafODklYuucJZQNs_GAPEfZyY/edit?usp=share_link"",""เพชรบูรณ์!J342"")+IMPORTRANGE(""https://docs.google.com/spreadsheets/d/1gvTMYAnm7v1yG1BKWFtr0DnaTsq59oW9dwWvFgq6hs0/edit?usp=share_link"",""แพร่!J342"")+IMPORTRANGE("""&amp;"https://docs.google.com/spreadsheets/d/1Wbcosgy-Xa1xXUArJSOenub6EfZHUSzc_bpJFWwQUf0/edit?usp=share_link"",""แม่ฮ่องสอน!J342"")+IMPORTRANGE(""https://docs.google.com/spreadsheets/d/1p7ERhsr0qZeSn-KSOdeHS9r0heI-lHtkcn2OH7hP0jQ/edit?usp=share_link"",""ลำปาง!"&amp;"J342"")+IMPORTRANGE(""https://docs.google.com/spreadsheets/d/1-uUXvimVhiU2U0bMN-xi2te0tS4X7DI2GLPnMjzl8cA/edit?usp=share_link"",""ลำพูน!J342"")+IMPORTRANGE(""https://docs.google.com/spreadsheets/d/17HrOaa5pBUI1onckFfumXB8xlg35qb2uBAFfF1D-Myo/edit?usp=shar"&amp;"e_link"",""สุโขทัย!J342"")+IMPORTRANGE(""https://docs.google.com/spreadsheets/d/1ubs5cl16eYL9gHbdHTJtmtYb9MGzHBs7CAphn8kNCgM/edit?usp=share_link"",""อุตรดิตถ์!J342"")+IMPORTRANGE(""https://docs.google.com/spreadsheets/d/1kII0BjS6CtVrBvI8IrytgPdxDrlyQDyigz"&amp;"MsohRtDMs/edit?usp=share_link"",""อุทัยธานี!J342"")
"),21)</f>
        <v>21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xicF4apzSqm0-jIpmueT4kyZtE-Cwn5zskl7GD4loQ/edit?usp=share_link"",""กำแพงเพชร!J343"")+IMPORTRANGE(""https://docs.google.com/spreadsheets/d/1ZNYWeiFoFA1K1U4xKWqRX29MBvEyRHXORjo734Gnq_c/edit?usp=share_li"&amp;"nk"",""เชียงราย!J343"")
+IMPORTRANGE(""https://docs.google.com/spreadsheets/d/1Jgv0Y7YlHDtsiDawwp-uvifEJ8HVaSn0k2aGHG8-hwM/edit?usp=share_link"",""เชียงใหม่!J343"")+IMPORTRANGE(""https://docs.google.com/spreadsheets/d/1JWG2rZePOz9pe-f-ObA-yDr0VoOX2kSb0qIi"&amp;"x2mTUo8/edit?usp=share_link"",""ตาก!J343"")+IMPORTRANGE(""https://docs.google.com/spreadsheets/d/10nSRjK08hx8Y6HgSOQKNw81lyY46Zc7U_Cj72hBMp9U/edit?usp=share_link"",""นครสวรรค์!J343"")+IMPORTRANGE(""https://docs.google.com/spreadsheets/d/1gFVb7qd7amutrIxAA"&amp;"oM7lcy35hllxznovot8lyOfvDo/edit?usp=share_link"",""น่าน!J343"")+IMPORTRANGE(""https://docs.google.com/spreadsheets/d/1K0Aa9s-6EuHE5M0FG1F9aHLXRCOV917xvycTdLdct0w/edit?usp=share_link"",""พะเยา!J343"")+IMPORTRANGE(""https://docs.google.com/spreadsheets/d/1Y"&amp;"9LPKx95PyL5OKy09d-KbKJSuuEZCFdkhYjwC0XQjBA/edit?usp=share_link"",""พิจิตร!J343"")+IMPORTRANGE(""https://docs.google.com/spreadsheets/d/16OMuOwy2eVqZcYWOouQtTpa8X1L23h4660uVHc0C8os/edit?usp=share_link"",""พิษณุโลก!J343"")+IMPORTRANGE(""https://docs.google."&amp;"com/spreadsheets/d/1GfgTldLG6k77HXaMQzaafODklYuucJZQNs_GAPEfZyY/edit?usp=share_link"",""เพชรบูรณ์!J343"")+IMPORTRANGE(""https://docs.google.com/spreadsheets/d/1gvTMYAnm7v1yG1BKWFtr0DnaTsq59oW9dwWvFgq6hs0/edit?usp=share_link"",""แพร่!J343"")+IMPORTRANGE("""&amp;"https://docs.google.com/spreadsheets/d/1Wbcosgy-Xa1xXUArJSOenub6EfZHUSzc_bpJFWwQUf0/edit?usp=share_link"",""แม่ฮ่องสอน!J343"")+IMPORTRANGE(""https://docs.google.com/spreadsheets/d/1p7ERhsr0qZeSn-KSOdeHS9r0heI-lHtkcn2OH7hP0jQ/edit?usp=share_link"",""ลำปาง!"&amp;"J343"")+IMPORTRANGE(""https://docs.google.com/spreadsheets/d/1-uUXvimVhiU2U0bMN-xi2te0tS4X7DI2GLPnMjzl8cA/edit?usp=share_link"",""ลำพูน!J343"")+IMPORTRANGE(""https://docs.google.com/spreadsheets/d/17HrOaa5pBUI1onckFfumXB8xlg35qb2uBAFfF1D-Myo/edit?usp=shar"&amp;"e_link"",""สุโขทัย!J343"")+IMPORTRANGE(""https://docs.google.com/spreadsheets/d/1ubs5cl16eYL9gHbdHTJtmtYb9MGzHBs7CAphn8kNCgM/edit?usp=share_link"",""อุตรดิตถ์!J343"")+IMPORTRANGE(""https://docs.google.com/spreadsheets/d/1kII0BjS6CtVrBvI8IrytgPdxDrlyQDyigz"&amp;"MsohRtDMs/edit?usp=share_link"",""อุทัยธานี!J343"")
"),715)</f>
        <v>715</v>
      </c>
      <c r="K343" s="38"/>
      <c r="L343" s="38"/>
      <c r="M343" s="38"/>
      <c r="N343" s="38"/>
      <c r="O343" s="38"/>
      <c r="P343" s="38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3">L346+L347</f>
        <v>13325790</v>
      </c>
      <c r="M345" s="155">
        <f t="shared" ca="1" si="183"/>
        <v>9455260</v>
      </c>
      <c r="N345" s="155">
        <f t="shared" ca="1" si="183"/>
        <v>5473231.5999999996</v>
      </c>
      <c r="O345" s="155">
        <f t="shared" ref="O345:O353" ca="1" si="184">IF(L345&gt;0,N345*100/L345,0)</f>
        <v>41.072473752025211</v>
      </c>
      <c r="P345" s="155">
        <f t="shared" ref="P345:P353" ca="1" si="185">IF(M345&gt;0,N345*100/M345,0)</f>
        <v>57.885574801750558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6">L349+L352</f>
        <v>0</v>
      </c>
      <c r="M346" s="45">
        <f t="shared" si="186"/>
        <v>0</v>
      </c>
      <c r="N346" s="45">
        <f t="shared" si="186"/>
        <v>0</v>
      </c>
      <c r="O346" s="45">
        <f t="shared" si="184"/>
        <v>0</v>
      </c>
      <c r="P346" s="45">
        <f t="shared" si="185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7">L350+L353</f>
        <v>13325790</v>
      </c>
      <c r="M347" s="45">
        <f t="shared" ca="1" si="187"/>
        <v>9455260</v>
      </c>
      <c r="N347" s="45">
        <f t="shared" ca="1" si="187"/>
        <v>5473231.5999999996</v>
      </c>
      <c r="O347" s="45">
        <f t="shared" ca="1" si="184"/>
        <v>41.072473752025211</v>
      </c>
      <c r="P347" s="45">
        <f t="shared" ca="1" si="185"/>
        <v>57.885574801750558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8">L349+L350</f>
        <v>11818690</v>
      </c>
      <c r="M348" s="38">
        <f t="shared" ca="1" si="188"/>
        <v>7964180</v>
      </c>
      <c r="N348" s="38">
        <f t="shared" ca="1" si="188"/>
        <v>3982151.6</v>
      </c>
      <c r="O348" s="38">
        <f t="shared" ca="1" si="184"/>
        <v>33.693680094832843</v>
      </c>
      <c r="P348" s="38">
        <f t="shared" ca="1" si="185"/>
        <v>50.000773463181396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4"/>
        <v>0</v>
      </c>
      <c r="P349" s="45">
        <f t="shared" si="185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xicF4apzSqm0-jIpmueT4kyZtE-Cwn5zskl7GD4loQ/edit?usp=share_link"",""กำแพงเพชร!l350"")+IMPORTRANGE(""https://docs.google.com/spreadsheets/d/1ZNYWeiFoFA1K1U4xKWqRX29MBvEyRHXORjo734Gnq_c/edit?usp=share_li"&amp;"nk"",""เชียงราย!l350"")
+IMPORTRANGE(""https://docs.google.com/spreadsheets/d/1Jgv0Y7YlHDtsiDawwp-uvifEJ8HVaSn0k2aGHG8-hwM/edit?usp=share_link"",""เชียงใหม่!l350"")+IMPORTRANGE(""https://docs.google.com/spreadsheets/d/1JWG2rZePOz9pe-f-ObA-yDr0VoOX2kSb0qIi"&amp;"x2mTUo8/edit?usp=share_link"",""ตาก!l350"")+IMPORTRANGE(""https://docs.google.com/spreadsheets/d/10nSRjK08hx8Y6HgSOQKNw81lyY46Zc7U_Cj72hBMp9U/edit?usp=share_link"",""นครสวรรค์!l350"")+IMPORTRANGE(""https://docs.google.com/spreadsheets/d/1gFVb7qd7amutrIxAA"&amp;"oM7lcy35hllxznovot8lyOfvDo/edit?usp=share_link"",""น่าน!l350"")+IMPORTRANGE(""https://docs.google.com/spreadsheets/d/1K0Aa9s-6EuHE5M0FG1F9aHLXRCOV917xvycTdLdct0w/edit?usp=share_link"",""พะเยา!l350"")+IMPORTRANGE(""https://docs.google.com/spreadsheets/d/1Y"&amp;"9LPKx95PyL5OKy09d-KbKJSuuEZCFdkhYjwC0XQjBA/edit?usp=share_link"",""พิจิตร!l350"")+IMPORTRANGE(""https://docs.google.com/spreadsheets/d/16OMuOwy2eVqZcYWOouQtTpa8X1L23h4660uVHc0C8os/edit?usp=share_link"",""พิษณุโลก!l350"")+IMPORTRANGE(""https://docs.google."&amp;"com/spreadsheets/d/1GfgTldLG6k77HXaMQzaafODklYuucJZQNs_GAPEfZyY/edit?usp=share_link"",""เพชรบูรณ์!l350"")+IMPORTRANGE(""https://docs.google.com/spreadsheets/d/1gvTMYAnm7v1yG1BKWFtr0DnaTsq59oW9dwWvFgq6hs0/edit?usp=share_link"",""แพร่!l350"")+IMPORTRANGE("""&amp;"https://docs.google.com/spreadsheets/d/1Wbcosgy-Xa1xXUArJSOenub6EfZHUSzc_bpJFWwQUf0/edit?usp=share_link"",""แม่ฮ่องสอน!l350"")+IMPORTRANGE(""https://docs.google.com/spreadsheets/d/1p7ERhsr0qZeSn-KSOdeHS9r0heI-lHtkcn2OH7hP0jQ/edit?usp=share_link"",""ลำปาง!"&amp;"l350"")+IMPORTRANGE(""https://docs.google.com/spreadsheets/d/1-uUXvimVhiU2U0bMN-xi2te0tS4X7DI2GLPnMjzl8cA/edit?usp=share_link"",""ลำพูน!l350"")+IMPORTRANGE(""https://docs.google.com/spreadsheets/d/17HrOaa5pBUI1onckFfumXB8xlg35qb2uBAFfF1D-Myo/edit?usp=shar"&amp;"e_link"",""สุโขทัย!l350"")+IMPORTRANGE(""https://docs.google.com/spreadsheets/d/1ubs5cl16eYL9gHbdHTJtmtYb9MGzHBs7CAphn8kNCgM/edit?usp=share_link"",""อุตรดิตถ์!l350"")+IMPORTRANGE(""https://docs.google.com/spreadsheets/d/1kII0BjS6CtVrBvI8IrytgPdxDrlyQDyigz"&amp;"MsohRtDMs/edit?usp=share_link"",""อุทัยธานี!l350"")
"),11818690)</f>
        <v>11818690</v>
      </c>
      <c r="M350" s="45">
        <f ca="1">IFERROR(__xludf.DUMMYFUNCTION("IMPORTRANGE(""https://docs.google.com/spreadsheets/d/1KxicF4apzSqm0-jIpmueT4kyZtE-Cwn5zskl7GD4loQ/edit?usp=share_link"",""กำแพงเพชร!m350"")+IMPORTRANGE(""https://docs.google.com/spreadsheets/d/1ZNYWeiFoFA1K1U4xKWqRX29MBvEyRHXORjo734Gnq_c/edit?usp=share_li"&amp;"nk"",""เชียงราย!m350"")
+IMPORTRANGE(""https://docs.google.com/spreadsheets/d/1Jgv0Y7YlHDtsiDawwp-uvifEJ8HVaSn0k2aGHG8-hwM/edit?usp=share_link"",""เชียงใหม่!m350"")+IMPORTRANGE(""https://docs.google.com/spreadsheets/d/1JWG2rZePOz9pe-f-ObA-yDr0VoOX2kSb0qIi"&amp;"x2mTUo8/edit?usp=share_link"",""ตาก!m350"")+IMPORTRANGE(""https://docs.google.com/spreadsheets/d/10nSRjK08hx8Y6HgSOQKNw81lyY46Zc7U_Cj72hBMp9U/edit?usp=share_link"",""นครสวรรค์!m350"")+IMPORTRANGE(""https://docs.google.com/spreadsheets/d/1gFVb7qd7amutrIxAA"&amp;"oM7lcy35hllxznovot8lyOfvDo/edit?usp=share_link"",""น่าน!m350"")+IMPORTRANGE(""https://docs.google.com/spreadsheets/d/1K0Aa9s-6EuHE5M0FG1F9aHLXRCOV917xvycTdLdct0w/edit?usp=share_link"",""พะเยา!m350"")+IMPORTRANGE(""https://docs.google.com/spreadsheets/d/1Y"&amp;"9LPKx95PyL5OKy09d-KbKJSuuEZCFdkhYjwC0XQjBA/edit?usp=share_link"",""พิจิตร!m350"")+IMPORTRANGE(""https://docs.google.com/spreadsheets/d/16OMuOwy2eVqZcYWOouQtTpa8X1L23h4660uVHc0C8os/edit?usp=share_link"",""พิษณุโลก!m350"")+IMPORTRANGE(""https://docs.google."&amp;"com/spreadsheets/d/1GfgTldLG6k77HXaMQzaafODklYuucJZQNs_GAPEfZyY/edit?usp=share_link"",""เพชรบูรณ์!m350"")+IMPORTRANGE(""https://docs.google.com/spreadsheets/d/1gvTMYAnm7v1yG1BKWFtr0DnaTsq59oW9dwWvFgq6hs0/edit?usp=share_link"",""แพร่!m350"")+IMPORTRANGE("""&amp;"https://docs.google.com/spreadsheets/d/1Wbcosgy-Xa1xXUArJSOenub6EfZHUSzc_bpJFWwQUf0/edit?usp=share_link"",""แม่ฮ่องสอน!m350"")+IMPORTRANGE(""https://docs.google.com/spreadsheets/d/1p7ERhsr0qZeSn-KSOdeHS9r0heI-lHtkcn2OH7hP0jQ/edit?usp=share_link"",""ลำปาง!"&amp;"m350"")+IMPORTRANGE(""https://docs.google.com/spreadsheets/d/1-uUXvimVhiU2U0bMN-xi2te0tS4X7DI2GLPnMjzl8cA/edit?usp=share_link"",""ลำพูน!m350"")+IMPORTRANGE(""https://docs.google.com/spreadsheets/d/17HrOaa5pBUI1onckFfumXB8xlg35qb2uBAFfF1D-Myo/edit?usp=shar"&amp;"e_link"",""สุโขทัย!m350"")+IMPORTRANGE(""https://docs.google.com/spreadsheets/d/1ubs5cl16eYL9gHbdHTJtmtYb9MGzHBs7CAphn8kNCgM/edit?usp=share_link"",""อุตรดิตถ์!m350"")+IMPORTRANGE(""https://docs.google.com/spreadsheets/d/1kII0BjS6CtVrBvI8IrytgPdxDrlyQDyigz"&amp;"MsohRtDMs/edit?usp=share_link"",""อุทัยธานี!m350"")
"),7964180)</f>
        <v>7964180</v>
      </c>
      <c r="N350" s="45">
        <f ca="1">IFERROR(__xludf.DUMMYFUNCTION("IMPORTRANGE(""https://docs.google.com/spreadsheets/d/1KxicF4apzSqm0-jIpmueT4kyZtE-Cwn5zskl7GD4loQ/edit?usp=share_link"",""กำแพงเพชร!n350"")+IMPORTRANGE(""https://docs.google.com/spreadsheets/d/1ZNYWeiFoFA1K1U4xKWqRX29MBvEyRHXORjo734Gnq_c/edit?usp=share_li"&amp;"nk"",""เชียงราย!n350"")
+IMPORTRANGE(""https://docs.google.com/spreadsheets/d/1Jgv0Y7YlHDtsiDawwp-uvifEJ8HVaSn0k2aGHG8-hwM/edit?usp=share_link"",""เชียงใหม่!n350"")+IMPORTRANGE(""https://docs.google.com/spreadsheets/d/1JWG2rZePOz9pe-f-ObA-yDr0VoOX2kSb0qIi"&amp;"x2mTUo8/edit?usp=share_link"",""ตาก!n350"")+IMPORTRANGE(""https://docs.google.com/spreadsheets/d/10nSRjK08hx8Y6HgSOQKNw81lyY46Zc7U_Cj72hBMp9U/edit?usp=share_link"",""นครสวรรค์!n350"")+IMPORTRANGE(""https://docs.google.com/spreadsheets/d/1gFVb7qd7amutrIxAA"&amp;"oM7lcy35hllxznovot8lyOfvDo/edit?usp=share_link"",""น่าน!n350"")+IMPORTRANGE(""https://docs.google.com/spreadsheets/d/1K0Aa9s-6EuHE5M0FG1F9aHLXRCOV917xvycTdLdct0w/edit?usp=share_link"",""พะเยา!n350"")+IMPORTRANGE(""https://docs.google.com/spreadsheets/d/1Y"&amp;"9LPKx95PyL5OKy09d-KbKJSuuEZCFdkhYjwC0XQjBA/edit?usp=share_link"",""พิจิตร!n350"")+IMPORTRANGE(""https://docs.google.com/spreadsheets/d/16OMuOwy2eVqZcYWOouQtTpa8X1L23h4660uVHc0C8os/edit?usp=share_link"",""พิษณุโลก!n350"")+IMPORTRANGE(""https://docs.google."&amp;"com/spreadsheets/d/1GfgTldLG6k77HXaMQzaafODklYuucJZQNs_GAPEfZyY/edit?usp=share_link"",""เพชรบูรณ์!n350"")+IMPORTRANGE(""https://docs.google.com/spreadsheets/d/1gvTMYAnm7v1yG1BKWFtr0DnaTsq59oW9dwWvFgq6hs0/edit?usp=share_link"",""แพร่!n350"")+IMPORTRANGE("""&amp;"https://docs.google.com/spreadsheets/d/1Wbcosgy-Xa1xXUArJSOenub6EfZHUSzc_bpJFWwQUf0/edit?usp=share_link"",""แม่ฮ่องสอน!n350"")+IMPORTRANGE(""https://docs.google.com/spreadsheets/d/1p7ERhsr0qZeSn-KSOdeHS9r0heI-lHtkcn2OH7hP0jQ/edit?usp=share_link"",""ลำปาง!"&amp;"n350"")+IMPORTRANGE(""https://docs.google.com/spreadsheets/d/1-uUXvimVhiU2U0bMN-xi2te0tS4X7DI2GLPnMjzl8cA/edit?usp=share_link"",""ลำพูน!n350"")+IMPORTRANGE(""https://docs.google.com/spreadsheets/d/17HrOaa5pBUI1onckFfumXB8xlg35qb2uBAFfF1D-Myo/edit?usp=shar"&amp;"e_link"",""สุโขทัย!n350"")+IMPORTRANGE(""https://docs.google.com/spreadsheets/d/1ubs5cl16eYL9gHbdHTJtmtYb9MGzHBs7CAphn8kNCgM/edit?usp=share_link"",""อุตรดิตถ์!n350"")+IMPORTRANGE(""https://docs.google.com/spreadsheets/d/1kII0BjS6CtVrBvI8IrytgPdxDrlyQDyigz"&amp;"MsohRtDMs/edit?usp=share_link"",""อุทัยธานี!n350"")
"),3982151.6)</f>
        <v>3982151.6</v>
      </c>
      <c r="O350" s="45">
        <f t="shared" ca="1" si="184"/>
        <v>33.693680094832843</v>
      </c>
      <c r="P350" s="45">
        <f t="shared" ca="1" si="185"/>
        <v>50.000773463181396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9">L352+L353</f>
        <v>1507100</v>
      </c>
      <c r="M351" s="38">
        <f t="shared" ca="1" si="189"/>
        <v>1491080</v>
      </c>
      <c r="N351" s="38">
        <f t="shared" ca="1" si="189"/>
        <v>1491080</v>
      </c>
      <c r="O351" s="38">
        <f t="shared" ca="1" si="184"/>
        <v>98.93703138477872</v>
      </c>
      <c r="P351" s="38">
        <f t="shared" ca="1" si="185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4"/>
        <v>0</v>
      </c>
      <c r="P352" s="45">
        <f t="shared" si="185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xicF4apzSqm0-jIpmueT4kyZtE-Cwn5zskl7GD4loQ/edit?usp=share_link"",""กำแพงเพชร!l353"")+IMPORTRANGE(""https://docs.google.com/spreadsheets/d/1ZNYWeiFoFA1K1U4xKWqRX29MBvEyRHXORjo734Gnq_c/edit?usp=share_li"&amp;"nk"",""เชียงราย!l353"")
+IMPORTRANGE(""https://docs.google.com/spreadsheets/d/1Jgv0Y7YlHDtsiDawwp-uvifEJ8HVaSn0k2aGHG8-hwM/edit?usp=share_link"",""เชียงใหม่!l353"")+IMPORTRANGE(""https://docs.google.com/spreadsheets/d/1JWG2rZePOz9pe-f-ObA-yDr0VoOX2kSb0qIi"&amp;"x2mTUo8/edit?usp=share_link"",""ตาก!l353"")+IMPORTRANGE(""https://docs.google.com/spreadsheets/d/10nSRjK08hx8Y6HgSOQKNw81lyY46Zc7U_Cj72hBMp9U/edit?usp=share_link"",""นครสวรรค์!l353"")+IMPORTRANGE(""https://docs.google.com/spreadsheets/d/1gFVb7qd7amutrIxAA"&amp;"oM7lcy35hllxznovot8lyOfvDo/edit?usp=share_link"",""น่าน!l353"")+IMPORTRANGE(""https://docs.google.com/spreadsheets/d/1K0Aa9s-6EuHE5M0FG1F9aHLXRCOV917xvycTdLdct0w/edit?usp=share_link"",""พะเยา!l353"")+IMPORTRANGE(""https://docs.google.com/spreadsheets/d/1Y"&amp;"9LPKx95PyL5OKy09d-KbKJSuuEZCFdkhYjwC0XQjBA/edit?usp=share_link"",""พิจิตร!l353"")+IMPORTRANGE(""https://docs.google.com/spreadsheets/d/16OMuOwy2eVqZcYWOouQtTpa8X1L23h4660uVHc0C8os/edit?usp=share_link"",""พิษณุโลก!l353"")+IMPORTRANGE(""https://docs.google."&amp;"com/spreadsheets/d/1GfgTldLG6k77HXaMQzaafODklYuucJZQNs_GAPEfZyY/edit?usp=share_link"",""เพชรบูรณ์!l353"")+IMPORTRANGE(""https://docs.google.com/spreadsheets/d/1gvTMYAnm7v1yG1BKWFtr0DnaTsq59oW9dwWvFgq6hs0/edit?usp=share_link"",""แพร่!l353"")+IMPORTRANGE("""&amp;"https://docs.google.com/spreadsheets/d/1Wbcosgy-Xa1xXUArJSOenub6EfZHUSzc_bpJFWwQUf0/edit?usp=share_link"",""แม่ฮ่องสอน!l353"")+IMPORTRANGE(""https://docs.google.com/spreadsheets/d/1p7ERhsr0qZeSn-KSOdeHS9r0heI-lHtkcn2OH7hP0jQ/edit?usp=share_link"",""ลำปาง!"&amp;"l353"")+IMPORTRANGE(""https://docs.google.com/spreadsheets/d/1-uUXvimVhiU2U0bMN-xi2te0tS4X7DI2GLPnMjzl8cA/edit?usp=share_link"",""ลำพูน!l353"")+IMPORTRANGE(""https://docs.google.com/spreadsheets/d/17HrOaa5pBUI1onckFfumXB8xlg35qb2uBAFfF1D-Myo/edit?usp=shar"&amp;"e_link"",""สุโขทัย!l353"")+IMPORTRANGE(""https://docs.google.com/spreadsheets/d/1ubs5cl16eYL9gHbdHTJtmtYb9MGzHBs7CAphn8kNCgM/edit?usp=share_link"",""อุตรดิตถ์!l353"")+IMPORTRANGE(""https://docs.google.com/spreadsheets/d/1kII0BjS6CtVrBvI8IrytgPdxDrlyQDyigz"&amp;"MsohRtDMs/edit?usp=share_link"",""อุทัยธานี!l353"")
"),1507100)</f>
        <v>1507100</v>
      </c>
      <c r="M353" s="45">
        <f ca="1">IFERROR(__xludf.DUMMYFUNCTION("IMPORTRANGE(""https://docs.google.com/spreadsheets/d/1KxicF4apzSqm0-jIpmueT4kyZtE-Cwn5zskl7GD4loQ/edit?usp=share_link"",""กำแพงเพชร!m353"")+IMPORTRANGE(""https://docs.google.com/spreadsheets/d/1ZNYWeiFoFA1K1U4xKWqRX29MBvEyRHXORjo734Gnq_c/edit?usp=share_li"&amp;"nk"",""เชียงราย!m353"")
+IMPORTRANGE(""https://docs.google.com/spreadsheets/d/1Jgv0Y7YlHDtsiDawwp-uvifEJ8HVaSn0k2aGHG8-hwM/edit?usp=share_link"",""เชียงใหม่!m353"")+IMPORTRANGE(""https://docs.google.com/spreadsheets/d/1JWG2rZePOz9pe-f-ObA-yDr0VoOX2kSb0qIi"&amp;"x2mTUo8/edit?usp=share_link"",""ตาก!m353"")+IMPORTRANGE(""https://docs.google.com/spreadsheets/d/10nSRjK08hx8Y6HgSOQKNw81lyY46Zc7U_Cj72hBMp9U/edit?usp=share_link"",""นครสวรรค์!m353"")+IMPORTRANGE(""https://docs.google.com/spreadsheets/d/1gFVb7qd7amutrIxAA"&amp;"oM7lcy35hllxznovot8lyOfvDo/edit?usp=share_link"",""น่าน!m353"")+IMPORTRANGE(""https://docs.google.com/spreadsheets/d/1K0Aa9s-6EuHE5M0FG1F9aHLXRCOV917xvycTdLdct0w/edit?usp=share_link"",""พะเยา!m353"")+IMPORTRANGE(""https://docs.google.com/spreadsheets/d/1Y"&amp;"9LPKx95PyL5OKy09d-KbKJSuuEZCFdkhYjwC0XQjBA/edit?usp=share_link"",""พิจิตร!m353"")+IMPORTRANGE(""https://docs.google.com/spreadsheets/d/16OMuOwy2eVqZcYWOouQtTpa8X1L23h4660uVHc0C8os/edit?usp=share_link"",""พิษณุโลก!m353"")+IMPORTRANGE(""https://docs.google."&amp;"com/spreadsheets/d/1GfgTldLG6k77HXaMQzaafODklYuucJZQNs_GAPEfZyY/edit?usp=share_link"",""เพชรบูรณ์!m353"")+IMPORTRANGE(""https://docs.google.com/spreadsheets/d/1gvTMYAnm7v1yG1BKWFtr0DnaTsq59oW9dwWvFgq6hs0/edit?usp=share_link"",""แพร่!m353"")+IMPORTRANGE("""&amp;"https://docs.google.com/spreadsheets/d/1Wbcosgy-Xa1xXUArJSOenub6EfZHUSzc_bpJFWwQUf0/edit?usp=share_link"",""แม่ฮ่องสอน!m353"")+IMPORTRANGE(""https://docs.google.com/spreadsheets/d/1p7ERhsr0qZeSn-KSOdeHS9r0heI-lHtkcn2OH7hP0jQ/edit?usp=share_link"",""ลำปาง!"&amp;"m353"")+IMPORTRANGE(""https://docs.google.com/spreadsheets/d/1-uUXvimVhiU2U0bMN-xi2te0tS4X7DI2GLPnMjzl8cA/edit?usp=share_link"",""ลำพูน!m353"")+IMPORTRANGE(""https://docs.google.com/spreadsheets/d/17HrOaa5pBUI1onckFfumXB8xlg35qb2uBAFfF1D-Myo/edit?usp=shar"&amp;"e_link"",""สุโขทัย!m353"")+IMPORTRANGE(""https://docs.google.com/spreadsheets/d/1ubs5cl16eYL9gHbdHTJtmtYb9MGzHBs7CAphn8kNCgM/edit?usp=share_link"",""อุตรดิตถ์!m353"")+IMPORTRANGE(""https://docs.google.com/spreadsheets/d/1kII0BjS6CtVrBvI8IrytgPdxDrlyQDyigz"&amp;"MsohRtDMs/edit?usp=share_link"",""อุทัยธานี!m353"")
"),1491080)</f>
        <v>1491080</v>
      </c>
      <c r="N353" s="45">
        <f ca="1">IFERROR(__xludf.DUMMYFUNCTION("IMPORTRANGE(""https://docs.google.com/spreadsheets/d/1KxicF4apzSqm0-jIpmueT4kyZtE-Cwn5zskl7GD4loQ/edit?usp=share_link"",""กำแพงเพชร!n353"")+IMPORTRANGE(""https://docs.google.com/spreadsheets/d/1ZNYWeiFoFA1K1U4xKWqRX29MBvEyRHXORjo734Gnq_c/edit?usp=share_li"&amp;"nk"",""เชียงราย!n353"")
+IMPORTRANGE(""https://docs.google.com/spreadsheets/d/1Jgv0Y7YlHDtsiDawwp-uvifEJ8HVaSn0k2aGHG8-hwM/edit?usp=share_link"",""เชียงใหม่!n353"")+IMPORTRANGE(""https://docs.google.com/spreadsheets/d/1JWG2rZePOz9pe-f-ObA-yDr0VoOX2kSb0qIi"&amp;"x2mTUo8/edit?usp=share_link"",""ตาก!n353"")+IMPORTRANGE(""https://docs.google.com/spreadsheets/d/10nSRjK08hx8Y6HgSOQKNw81lyY46Zc7U_Cj72hBMp9U/edit?usp=share_link"",""นครสวรรค์!n353"")+IMPORTRANGE(""https://docs.google.com/spreadsheets/d/1gFVb7qd7amutrIxAA"&amp;"oM7lcy35hllxznovot8lyOfvDo/edit?usp=share_link"",""น่าน!n353"")+IMPORTRANGE(""https://docs.google.com/spreadsheets/d/1K0Aa9s-6EuHE5M0FG1F9aHLXRCOV917xvycTdLdct0w/edit?usp=share_link"",""พะเยา!n353"")+IMPORTRANGE(""https://docs.google.com/spreadsheets/d/1Y"&amp;"9LPKx95PyL5OKy09d-KbKJSuuEZCFdkhYjwC0XQjBA/edit?usp=share_link"",""พิจิตร!n353"")+IMPORTRANGE(""https://docs.google.com/spreadsheets/d/16OMuOwy2eVqZcYWOouQtTpa8X1L23h4660uVHc0C8os/edit?usp=share_link"",""พิษณุโลก!n353"")+IMPORTRANGE(""https://docs.google."&amp;"com/spreadsheets/d/1GfgTldLG6k77HXaMQzaafODklYuucJZQNs_GAPEfZyY/edit?usp=share_link"",""เพชรบูรณ์!n353"")+IMPORTRANGE(""https://docs.google.com/spreadsheets/d/1gvTMYAnm7v1yG1BKWFtr0DnaTsq59oW9dwWvFgq6hs0/edit?usp=share_link"",""แพร่!n353"")+IMPORTRANGE("""&amp;"https://docs.google.com/spreadsheets/d/1Wbcosgy-Xa1xXUArJSOenub6EfZHUSzc_bpJFWwQUf0/edit?usp=share_link"",""แม่ฮ่องสอน!n353"")+IMPORTRANGE(""https://docs.google.com/spreadsheets/d/1p7ERhsr0qZeSn-KSOdeHS9r0heI-lHtkcn2OH7hP0jQ/edit?usp=share_link"",""ลำปาง!"&amp;"n353"")+IMPORTRANGE(""https://docs.google.com/spreadsheets/d/1-uUXvimVhiU2U0bMN-xi2te0tS4X7DI2GLPnMjzl8cA/edit?usp=share_link"",""ลำพูน!n353"")+IMPORTRANGE(""https://docs.google.com/spreadsheets/d/17HrOaa5pBUI1onckFfumXB8xlg35qb2uBAFfF1D-Myo/edit?usp=shar"&amp;"e_link"",""สุโขทัย!n353"")+IMPORTRANGE(""https://docs.google.com/spreadsheets/d/1ubs5cl16eYL9gHbdHTJtmtYb9MGzHBs7CAphn8kNCgM/edit?usp=share_link"",""อุตรดิตถ์!n353"")+IMPORTRANGE(""https://docs.google.com/spreadsheets/d/1kII0BjS6CtVrBvI8IrytgPdxDrlyQDyigz"&amp;"MsohRtDMs/edit?usp=share_link"",""อุทัยธานี!n353"")
"),1491080)</f>
        <v>1491080</v>
      </c>
      <c r="O353" s="45">
        <f t="shared" ca="1" si="184"/>
        <v>98.93703138477872</v>
      </c>
      <c r="P353" s="45">
        <f t="shared" ca="1" si="185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23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428" t="s">
        <v>159</v>
      </c>
      <c r="E355" s="429"/>
      <c r="F355" s="429"/>
      <c r="G355" s="430"/>
      <c r="H355" s="431" t="s">
        <v>35</v>
      </c>
      <c r="I355" s="432">
        <f ca="1">IFERROR(__xludf.DUMMYFUNCTION("IMPORTRANGE(""https://docs.google.com/spreadsheets/d/1KxicF4apzSqm0-jIpmueT4kyZtE-Cwn5zskl7GD4loQ/edit?usp=share_link"",""กำแพงเพชร!I355"")+IMPORTRANGE(""https://docs.google.com/spreadsheets/d/1ZNYWeiFoFA1K1U4xKWqRX29MBvEyRHXORjo734Gnq_c/edit?usp=share_li"&amp;"nk"",""เชียงราย!I355"")
+IMPORTRANGE(""https://docs.google.com/spreadsheets/d/1Jgv0Y7YlHDtsiDawwp-uvifEJ8HVaSn0k2aGHG8-hwM/edit?usp=share_link"",""เชียงใหม่!I355"")+IMPORTRANGE(""https://docs.google.com/spreadsheets/d/1JWG2rZePOz9pe-f-ObA-yDr0VoOX2kSb0qIi"&amp;"x2mTUo8/edit?usp=share_link"",""ตาก!I355"")+IMPORTRANGE(""https://docs.google.com/spreadsheets/d/10nSRjK08hx8Y6HgSOQKNw81lyY46Zc7U_Cj72hBMp9U/edit?usp=share_link"",""นครสวรรค์!I355"")+IMPORTRANGE(""https://docs.google.com/spreadsheets/d/1gFVb7qd7amutrIxAA"&amp;"oM7lcy35hllxznovot8lyOfvDo/edit?usp=share_link"",""น่าน!I355"")+IMPORTRANGE(""https://docs.google.com/spreadsheets/d/1K0Aa9s-6EuHE5M0FG1F9aHLXRCOV917xvycTdLdct0w/edit?usp=share_link"",""พะเยา!I355"")+IMPORTRANGE(""https://docs.google.com/spreadsheets/d/1Y"&amp;"9LPKx95PyL5OKy09d-KbKJSuuEZCFdkhYjwC0XQjBA/edit?usp=share_link"",""พิจิตร!I355"")+IMPORTRANGE(""https://docs.google.com/spreadsheets/d/16OMuOwy2eVqZcYWOouQtTpa8X1L23h4660uVHc0C8os/edit?usp=share_link"",""พิษณุโลก!I355"")+IMPORTRANGE(""https://docs.google."&amp;"com/spreadsheets/d/1GfgTldLG6k77HXaMQzaafODklYuucJZQNs_GAPEfZyY/edit?usp=share_link"",""เพชรบูรณ์!I355"")+IMPORTRANGE(""https://docs.google.com/spreadsheets/d/1gvTMYAnm7v1yG1BKWFtr0DnaTsq59oW9dwWvFgq6hs0/edit?usp=share_link"",""แพร่!I355"")+IMPORTRANGE("""&amp;"https://docs.google.com/spreadsheets/d/1Wbcosgy-Xa1xXUArJSOenub6EfZHUSzc_bpJFWwQUf0/edit?usp=share_link"",""แม่ฮ่องสอน!I355"")+IMPORTRANGE(""https://docs.google.com/spreadsheets/d/1p7ERhsr0qZeSn-KSOdeHS9r0heI-lHtkcn2OH7hP0jQ/edit?usp=share_link"",""ลำปาง!"&amp;"I355"")+IMPORTRANGE(""https://docs.google.com/spreadsheets/d/1-uUXvimVhiU2U0bMN-xi2te0tS4X7DI2GLPnMjzl8cA/edit?usp=share_link"",""ลำพูน!I355"")+IMPORTRANGE(""https://docs.google.com/spreadsheets/d/17HrOaa5pBUI1onckFfumXB8xlg35qb2uBAFfF1D-Myo/edit?usp=shar"&amp;"e_link"",""สุโขทัย!I355"")+IMPORTRANGE(""https://docs.google.com/spreadsheets/d/1ubs5cl16eYL9gHbdHTJtmtYb9MGzHBs7CAphn8kNCgM/edit?usp=share_link"",""อุตรดิตถ์!I355"")+IMPORTRANGE(""https://docs.google.com/spreadsheets/d/1kII0BjS6CtVrBvI8IrytgPdxDrlyQDyigz"&amp;"MsohRtDMs/edit?usp=share_link"",""อุทัยธานี!I355"")
"),4028)</f>
        <v>4028</v>
      </c>
      <c r="J355" s="433">
        <f ca="1">J362</f>
        <v>471</v>
      </c>
      <c r="K355" s="434">
        <f ca="1">IF(I355&gt;0,J355*100/I355,0)</f>
        <v>11.693147964250247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xicF4apzSqm0-jIpmueT4kyZtE-Cwn5zskl7GD4loQ/edit?usp=share_link"",""กำแพงเพชร!J358"")+IMPORTRANGE(""https://docs.google.com/spreadsheets/d/1ZNYWeiFoFA1K1U4xKWqRX29MBvEyRHXORjo734Gnq_c/edit?usp=share_li"&amp;"nk"",""เชียงราย!J358"")
+IMPORTRANGE(""https://docs.google.com/spreadsheets/d/1Jgv0Y7YlHDtsiDawwp-uvifEJ8HVaSn0k2aGHG8-hwM/edit?usp=share_link"",""เชียงใหม่!J358"")+IMPORTRANGE(""https://docs.google.com/spreadsheets/d/1JWG2rZePOz9pe-f-ObA-yDr0VoOX2kSb0qIi"&amp;"x2mTUo8/edit?usp=share_link"",""ตาก!J358"")+IMPORTRANGE(""https://docs.google.com/spreadsheets/d/10nSRjK08hx8Y6HgSOQKNw81lyY46Zc7U_Cj72hBMp9U/edit?usp=share_link"",""นครสวรรค์!J358"")+IMPORTRANGE(""https://docs.google.com/spreadsheets/d/1gFVb7qd7amutrIxAA"&amp;"oM7lcy35hllxznovot8lyOfvDo/edit?usp=share_link"",""น่าน!J358"")+IMPORTRANGE(""https://docs.google.com/spreadsheets/d/1K0Aa9s-6EuHE5M0FG1F9aHLXRCOV917xvycTdLdct0w/edit?usp=share_link"",""พะเยา!J358"")+IMPORTRANGE(""https://docs.google.com/spreadsheets/d/1Y"&amp;"9LPKx95PyL5OKy09d-KbKJSuuEZCFdkhYjwC0XQjBA/edit?usp=share_link"",""พิจิตร!J358"")+IMPORTRANGE(""https://docs.google.com/spreadsheets/d/16OMuOwy2eVqZcYWOouQtTpa8X1L23h4660uVHc0C8os/edit?usp=share_link"",""พิษณุโลก!J358"")+IMPORTRANGE(""https://docs.google."&amp;"com/spreadsheets/d/1GfgTldLG6k77HXaMQzaafODklYuucJZQNs_GAPEfZyY/edit?usp=share_link"",""เพชรบูรณ์!J358"")+IMPORTRANGE(""https://docs.google.com/spreadsheets/d/1gvTMYAnm7v1yG1BKWFtr0DnaTsq59oW9dwWvFgq6hs0/edit?usp=share_link"",""แพร่!J358"")+IMPORTRANGE("""&amp;"https://docs.google.com/spreadsheets/d/1Wbcosgy-Xa1xXUArJSOenub6EfZHUSzc_bpJFWwQUf0/edit?usp=share_link"",""แม่ฮ่องสอน!J358"")+IMPORTRANGE(""https://docs.google.com/spreadsheets/d/1p7ERhsr0qZeSn-KSOdeHS9r0heI-lHtkcn2OH7hP0jQ/edit?usp=share_link"",""ลำปาง!"&amp;"J358"")+IMPORTRANGE(""https://docs.google.com/spreadsheets/d/1-uUXvimVhiU2U0bMN-xi2te0tS4X7DI2GLPnMjzl8cA/edit?usp=share_link"",""ลำพูน!J358"")+IMPORTRANGE(""https://docs.google.com/spreadsheets/d/17HrOaa5pBUI1onckFfumXB8xlg35qb2uBAFfF1D-Myo/edit?usp=shar"&amp;"e_link"",""สุโขทัย!J358"")+IMPORTRANGE(""https://docs.google.com/spreadsheets/d/1ubs5cl16eYL9gHbdHTJtmtYb9MGzHBs7CAphn8kNCgM/edit?usp=share_link"",""อุตรดิตถ์!J358"")+IMPORTRANGE(""https://docs.google.com/spreadsheets/d/1kII0BjS6CtVrBvI8IrytgPdxDrlyQDyigz"&amp;"MsohRtDMs/edit?usp=share_link"",""อุทัยธานี!J358"")
"),1381)</f>
        <v>1381</v>
      </c>
      <c r="K358" s="38">
        <f t="shared" ref="K358:K365" si="19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xicF4apzSqm0-jIpmueT4kyZtE-Cwn5zskl7GD4loQ/edit?usp=share_link"",""กำแพงเพชร!I359"")+IMPORTRANGE(""https://docs.google.com/spreadsheets/d/1ZNYWeiFoFA1K1U4xKWqRX29MBvEyRHXORjo734Gnq_c/edit?usp=share_li"&amp;"nk"",""เชียงราย!I359"")
+IMPORTRANGE(""https://docs.google.com/spreadsheets/d/1Jgv0Y7YlHDtsiDawwp-uvifEJ8HVaSn0k2aGHG8-hwM/edit?usp=share_link"",""เชียงใหม่!I359"")+IMPORTRANGE(""https://docs.google.com/spreadsheets/d/1JWG2rZePOz9pe-f-ObA-yDr0VoOX2kSb0qIi"&amp;"x2mTUo8/edit?usp=share_link"",""ตาก!I359"")+IMPORTRANGE(""https://docs.google.com/spreadsheets/d/10nSRjK08hx8Y6HgSOQKNw81lyY46Zc7U_Cj72hBMp9U/edit?usp=share_link"",""นครสวรรค์!I359"")+IMPORTRANGE(""https://docs.google.com/spreadsheets/d/1gFVb7qd7amutrIxAA"&amp;"oM7lcy35hllxznovot8lyOfvDo/edit?usp=share_link"",""น่าน!I359"")+IMPORTRANGE(""https://docs.google.com/spreadsheets/d/1K0Aa9s-6EuHE5M0FG1F9aHLXRCOV917xvycTdLdct0w/edit?usp=share_link"",""พะเยา!I359"")+IMPORTRANGE(""https://docs.google.com/spreadsheets/d/1Y"&amp;"9LPKx95PyL5OKy09d-KbKJSuuEZCFdkhYjwC0XQjBA/edit?usp=share_link"",""พิจิตร!I359"")+IMPORTRANGE(""https://docs.google.com/spreadsheets/d/16OMuOwy2eVqZcYWOouQtTpa8X1L23h4660uVHc0C8os/edit?usp=share_link"",""พิษณุโลก!I359"")+IMPORTRANGE(""https://docs.google."&amp;"com/spreadsheets/d/1GfgTldLG6k77HXaMQzaafODklYuucJZQNs_GAPEfZyY/edit?usp=share_link"",""เพชรบูรณ์!I359"")+IMPORTRANGE(""https://docs.google.com/spreadsheets/d/1gvTMYAnm7v1yG1BKWFtr0DnaTsq59oW9dwWvFgq6hs0/edit?usp=share_link"",""แพร่!I359"")+IMPORTRANGE("""&amp;"https://docs.google.com/spreadsheets/d/1Wbcosgy-Xa1xXUArJSOenub6EfZHUSzc_bpJFWwQUf0/edit?usp=share_link"",""แม่ฮ่องสอน!I359"")+IMPORTRANGE(""https://docs.google.com/spreadsheets/d/1p7ERhsr0qZeSn-KSOdeHS9r0heI-lHtkcn2OH7hP0jQ/edit?usp=share_link"",""ลำปาง!"&amp;"I359"")+IMPORTRANGE(""https://docs.google.com/spreadsheets/d/1-uUXvimVhiU2U0bMN-xi2te0tS4X7DI2GLPnMjzl8cA/edit?usp=share_link"",""ลำพูน!I359"")+IMPORTRANGE(""https://docs.google.com/spreadsheets/d/17HrOaa5pBUI1onckFfumXB8xlg35qb2uBAFfF1D-Myo/edit?usp=shar"&amp;"e_link"",""สุโขทัย!I359"")+IMPORTRANGE(""https://docs.google.com/spreadsheets/d/1ubs5cl16eYL9gHbdHTJtmtYb9MGzHBs7CAphn8kNCgM/edit?usp=share_link"",""อุตรดิตถ์!I359"")+IMPORTRANGE(""https://docs.google.com/spreadsheets/d/1kII0BjS6CtVrBvI8IrytgPdxDrlyQDyigz"&amp;"MsohRtDMs/edit?usp=share_link"",""อุทัยธานี!I359"")
"),35800)</f>
        <v>35800</v>
      </c>
      <c r="J359" s="270">
        <f ca="1">IFERROR(__xludf.DUMMYFUNCTION("IMPORTRANGE(""https://docs.google.com/spreadsheets/d/1KxicF4apzSqm0-jIpmueT4kyZtE-Cwn5zskl7GD4loQ/edit?usp=share_link"",""กำแพงเพชร!J359"")+IMPORTRANGE(""https://docs.google.com/spreadsheets/d/1ZNYWeiFoFA1K1U4xKWqRX29MBvEyRHXORjo734Gnq_c/edit?usp=share_li"&amp;"nk"",""เชียงราย!J359"")
+IMPORTRANGE(""https://docs.google.com/spreadsheets/d/1Jgv0Y7YlHDtsiDawwp-uvifEJ8HVaSn0k2aGHG8-hwM/edit?usp=share_link"",""เชียงใหม่!J359"")+IMPORTRANGE(""https://docs.google.com/spreadsheets/d/1JWG2rZePOz9pe-f-ObA-yDr0VoOX2kSb0qIi"&amp;"x2mTUo8/edit?usp=share_link"",""ตาก!J359"")+IMPORTRANGE(""https://docs.google.com/spreadsheets/d/10nSRjK08hx8Y6HgSOQKNw81lyY46Zc7U_Cj72hBMp9U/edit?usp=share_link"",""นครสวรรค์!J359"")+IMPORTRANGE(""https://docs.google.com/spreadsheets/d/1gFVb7qd7amutrIxAA"&amp;"oM7lcy35hllxznovot8lyOfvDo/edit?usp=share_link"",""น่าน!J359"")+IMPORTRANGE(""https://docs.google.com/spreadsheets/d/1K0Aa9s-6EuHE5M0FG1F9aHLXRCOV917xvycTdLdct0w/edit?usp=share_link"",""พะเยา!J359"")+IMPORTRANGE(""https://docs.google.com/spreadsheets/d/1Y"&amp;"9LPKx95PyL5OKy09d-KbKJSuuEZCFdkhYjwC0XQjBA/edit?usp=share_link"",""พิจิตร!J359"")+IMPORTRANGE(""https://docs.google.com/spreadsheets/d/16OMuOwy2eVqZcYWOouQtTpa8X1L23h4660uVHc0C8os/edit?usp=share_link"",""พิษณุโลก!J359"")+IMPORTRANGE(""https://docs.google."&amp;"com/spreadsheets/d/1GfgTldLG6k77HXaMQzaafODklYuucJZQNs_GAPEfZyY/edit?usp=share_link"",""เพชรบูรณ์!J359"")+IMPORTRANGE(""https://docs.google.com/spreadsheets/d/1gvTMYAnm7v1yG1BKWFtr0DnaTsq59oW9dwWvFgq6hs0/edit?usp=share_link"",""แพร่!J359"")+IMPORTRANGE("""&amp;"https://docs.google.com/spreadsheets/d/1Wbcosgy-Xa1xXUArJSOenub6EfZHUSzc_bpJFWwQUf0/edit?usp=share_link"",""แม่ฮ่องสอน!J359"")+IMPORTRANGE(""https://docs.google.com/spreadsheets/d/1p7ERhsr0qZeSn-KSOdeHS9r0heI-lHtkcn2OH7hP0jQ/edit?usp=share_link"",""ลำปาง!"&amp;"J359"")+IMPORTRANGE(""https://docs.google.com/spreadsheets/d/1-uUXvimVhiU2U0bMN-xi2te0tS4X7DI2GLPnMjzl8cA/edit?usp=share_link"",""ลำพูน!J359"")+IMPORTRANGE(""https://docs.google.com/spreadsheets/d/17HrOaa5pBUI1onckFfumXB8xlg35qb2uBAFfF1D-Myo/edit?usp=shar"&amp;"e_link"",""สุโขทัย!J359"")+IMPORTRANGE(""https://docs.google.com/spreadsheets/d/1ubs5cl16eYL9gHbdHTJtmtYb9MGzHBs7CAphn8kNCgM/edit?usp=share_link"",""อุตรดิตถ์!J359"")+IMPORTRANGE(""https://docs.google.com/spreadsheets/d/1kII0BjS6CtVrBvI8IrytgPdxDrlyQDyigz"&amp;"MsohRtDMs/edit?usp=share_link"",""อุทัยธานี!J359"")
"),10079.82)</f>
        <v>10079.82</v>
      </c>
      <c r="K359" s="38">
        <f t="shared" ca="1" si="190"/>
        <v>28.155921787709499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xicF4apzSqm0-jIpmueT4kyZtE-Cwn5zskl7GD4loQ/edit?usp=share_link"",""กำแพงเพชร!I360"")+IMPORTRANGE(""https://docs.google.com/spreadsheets/d/1ZNYWeiFoFA1K1U4xKWqRX29MBvEyRHXORjo734Gnq_c/edit?usp=share_li"&amp;"nk"",""เชียงราย!I360"")
+IMPORTRANGE(""https://docs.google.com/spreadsheets/d/1Jgv0Y7YlHDtsiDawwp-uvifEJ8HVaSn0k2aGHG8-hwM/edit?usp=share_link"",""เชียงใหม่!I360"")+IMPORTRANGE(""https://docs.google.com/spreadsheets/d/1JWG2rZePOz9pe-f-ObA-yDr0VoOX2kSb0qIi"&amp;"x2mTUo8/edit?usp=share_link"",""ตาก!I360"")+IMPORTRANGE(""https://docs.google.com/spreadsheets/d/10nSRjK08hx8Y6HgSOQKNw81lyY46Zc7U_Cj72hBMp9U/edit?usp=share_link"",""นครสวรรค์!I360"")+IMPORTRANGE(""https://docs.google.com/spreadsheets/d/1gFVb7qd7amutrIxAA"&amp;"oM7lcy35hllxznovot8lyOfvDo/edit?usp=share_link"",""น่าน!I360"")+IMPORTRANGE(""https://docs.google.com/spreadsheets/d/1K0Aa9s-6EuHE5M0FG1F9aHLXRCOV917xvycTdLdct0w/edit?usp=share_link"",""พะเยา!I360"")+IMPORTRANGE(""https://docs.google.com/spreadsheets/d/1Y"&amp;"9LPKx95PyL5OKy09d-KbKJSuuEZCFdkhYjwC0XQjBA/edit?usp=share_link"",""พิจิตร!I360"")+IMPORTRANGE(""https://docs.google.com/spreadsheets/d/16OMuOwy2eVqZcYWOouQtTpa8X1L23h4660uVHc0C8os/edit?usp=share_link"",""พิษณุโลก!I360"")+IMPORTRANGE(""https://docs.google."&amp;"com/spreadsheets/d/1GfgTldLG6k77HXaMQzaafODklYuucJZQNs_GAPEfZyY/edit?usp=share_link"",""เพชรบูรณ์!I360"")+IMPORTRANGE(""https://docs.google.com/spreadsheets/d/1gvTMYAnm7v1yG1BKWFtr0DnaTsq59oW9dwWvFgq6hs0/edit?usp=share_link"",""แพร่!I360"")+IMPORTRANGE("""&amp;"https://docs.google.com/spreadsheets/d/1Wbcosgy-Xa1xXUArJSOenub6EfZHUSzc_bpJFWwQUf0/edit?usp=share_link"",""แม่ฮ่องสอน!I360"")+IMPORTRANGE(""https://docs.google.com/spreadsheets/d/1p7ERhsr0qZeSn-KSOdeHS9r0heI-lHtkcn2OH7hP0jQ/edit?usp=share_link"",""ลำปาง!"&amp;"I360"")+IMPORTRANGE(""https://docs.google.com/spreadsheets/d/1-uUXvimVhiU2U0bMN-xi2te0tS4X7DI2GLPnMjzl8cA/edit?usp=share_link"",""ลำพูน!I360"")+IMPORTRANGE(""https://docs.google.com/spreadsheets/d/17HrOaa5pBUI1onckFfumXB8xlg35qb2uBAFfF1D-Myo/edit?usp=shar"&amp;"e_link"",""สุโขทัย!I360"")+IMPORTRANGE(""https://docs.google.com/spreadsheets/d/1ubs5cl16eYL9gHbdHTJtmtYb9MGzHBs7CAphn8kNCgM/edit?usp=share_link"",""อุตรดิตถ์!I360"")+IMPORTRANGE(""https://docs.google.com/spreadsheets/d/1kII0BjS6CtVrBvI8IrytgPdxDrlyQDyigz"&amp;"MsohRtDMs/edit?usp=share_link"",""อุทัยธานี!I360"")
"),4028)</f>
        <v>4028</v>
      </c>
      <c r="J360" s="270">
        <f ca="1">IFERROR(__xludf.DUMMYFUNCTION("IMPORTRANGE(""https://docs.google.com/spreadsheets/d/1KxicF4apzSqm0-jIpmueT4kyZtE-Cwn5zskl7GD4loQ/edit?usp=share_link"",""กำแพงเพชร!J360"")+IMPORTRANGE(""https://docs.google.com/spreadsheets/d/1ZNYWeiFoFA1K1U4xKWqRX29MBvEyRHXORjo734Gnq_c/edit?usp=share_li"&amp;"nk"",""เชียงราย!J360"")
+IMPORTRANGE(""https://docs.google.com/spreadsheets/d/1Jgv0Y7YlHDtsiDawwp-uvifEJ8HVaSn0k2aGHG8-hwM/edit?usp=share_link"",""เชียงใหม่!J360"")+IMPORTRANGE(""https://docs.google.com/spreadsheets/d/1JWG2rZePOz9pe-f-ObA-yDr0VoOX2kSb0qIi"&amp;"x2mTUo8/edit?usp=share_link"",""ตาก!J360"")+IMPORTRANGE(""https://docs.google.com/spreadsheets/d/10nSRjK08hx8Y6HgSOQKNw81lyY46Zc7U_Cj72hBMp9U/edit?usp=share_link"",""นครสวรรค์!J360"")+IMPORTRANGE(""https://docs.google.com/spreadsheets/d/1gFVb7qd7amutrIxAA"&amp;"oM7lcy35hllxznovot8lyOfvDo/edit?usp=share_link"",""น่าน!J360"")+IMPORTRANGE(""https://docs.google.com/spreadsheets/d/1K0Aa9s-6EuHE5M0FG1F9aHLXRCOV917xvycTdLdct0w/edit?usp=share_link"",""พะเยา!J360"")+IMPORTRANGE(""https://docs.google.com/spreadsheets/d/1Y"&amp;"9LPKx95PyL5OKy09d-KbKJSuuEZCFdkhYjwC0XQjBA/edit?usp=share_link"",""พิจิตร!J360"")+IMPORTRANGE(""https://docs.google.com/spreadsheets/d/16OMuOwy2eVqZcYWOouQtTpa8X1L23h4660uVHc0C8os/edit?usp=share_link"",""พิษณุโลก!J360"")+IMPORTRANGE(""https://docs.google."&amp;"com/spreadsheets/d/1GfgTldLG6k77HXaMQzaafODklYuucJZQNs_GAPEfZyY/edit?usp=share_link"",""เพชรบูรณ์!J360"")+IMPORTRANGE(""https://docs.google.com/spreadsheets/d/1gvTMYAnm7v1yG1BKWFtr0DnaTsq59oW9dwWvFgq6hs0/edit?usp=share_link"",""แพร่!J360"")+IMPORTRANGE("""&amp;"https://docs.google.com/spreadsheets/d/1Wbcosgy-Xa1xXUArJSOenub6EfZHUSzc_bpJFWwQUf0/edit?usp=share_link"",""แม่ฮ่องสอน!J360"")+IMPORTRANGE(""https://docs.google.com/spreadsheets/d/1p7ERhsr0qZeSn-KSOdeHS9r0heI-lHtkcn2OH7hP0jQ/edit?usp=share_link"",""ลำปาง!"&amp;"J360"")+IMPORTRANGE(""https://docs.google.com/spreadsheets/d/1-uUXvimVhiU2U0bMN-xi2te0tS4X7DI2GLPnMjzl8cA/edit?usp=share_link"",""ลำพูน!J360"")+IMPORTRANGE(""https://docs.google.com/spreadsheets/d/17HrOaa5pBUI1onckFfumXB8xlg35qb2uBAFfF1D-Myo/edit?usp=shar"&amp;"e_link"",""สุโขทัย!J360"")+IMPORTRANGE(""https://docs.google.com/spreadsheets/d/1ubs5cl16eYL9gHbdHTJtmtYb9MGzHBs7CAphn8kNCgM/edit?usp=share_link"",""อุตรดิตถ์!J360"")+IMPORTRANGE(""https://docs.google.com/spreadsheets/d/1kII0BjS6CtVrBvI8IrytgPdxDrlyQDyigz"&amp;"MsohRtDMs/edit?usp=share_link"",""อุทัยธานี!J360"")
"),879)</f>
        <v>879</v>
      </c>
      <c r="K360" s="38">
        <f t="shared" ca="1" si="190"/>
        <v>21.822244289970207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xicF4apzSqm0-jIpmueT4kyZtE-Cwn5zskl7GD4loQ/edit?usp=share_link"",""กำแพงเพชร!J361"")+IMPORTRANGE(""https://docs.google.com/spreadsheets/d/1ZNYWeiFoFA1K1U4xKWqRX29MBvEyRHXORjo734Gnq_c/edit?usp=share_li"&amp;"nk"",""เชียงราย!J361"")
+IMPORTRANGE(""https://docs.google.com/spreadsheets/d/1Jgv0Y7YlHDtsiDawwp-uvifEJ8HVaSn0k2aGHG8-hwM/edit?usp=share_link"",""เชียงใหม่!J361"")+IMPORTRANGE(""https://docs.google.com/spreadsheets/d/1JWG2rZePOz9pe-f-ObA-yDr0VoOX2kSb0qIi"&amp;"x2mTUo8/edit?usp=share_link"",""ตาก!J361"")+IMPORTRANGE(""https://docs.google.com/spreadsheets/d/10nSRjK08hx8Y6HgSOQKNw81lyY46Zc7U_Cj72hBMp9U/edit?usp=share_link"",""นครสวรรค์!J361"")+IMPORTRANGE(""https://docs.google.com/spreadsheets/d/1gFVb7qd7amutrIxAA"&amp;"oM7lcy35hllxznovot8lyOfvDo/edit?usp=share_link"",""น่าน!J361"")+IMPORTRANGE(""https://docs.google.com/spreadsheets/d/1K0Aa9s-6EuHE5M0FG1F9aHLXRCOV917xvycTdLdct0w/edit?usp=share_link"",""พะเยา!J361"")+IMPORTRANGE(""https://docs.google.com/spreadsheets/d/1Y"&amp;"9LPKx95PyL5OKy09d-KbKJSuuEZCFdkhYjwC0XQjBA/edit?usp=share_link"",""พิจิตร!J361"")+IMPORTRANGE(""https://docs.google.com/spreadsheets/d/16OMuOwy2eVqZcYWOouQtTpa8X1L23h4660uVHc0C8os/edit?usp=share_link"",""พิษณุโลก!J361"")+IMPORTRANGE(""https://docs.google."&amp;"com/spreadsheets/d/1GfgTldLG6k77HXaMQzaafODklYuucJZQNs_GAPEfZyY/edit?usp=share_link"",""เพชรบูรณ์!J361"")+IMPORTRANGE(""https://docs.google.com/spreadsheets/d/1gvTMYAnm7v1yG1BKWFtr0DnaTsq59oW9dwWvFgq6hs0/edit?usp=share_link"",""แพร่!J361"")+IMPORTRANGE("""&amp;"https://docs.google.com/spreadsheets/d/1Wbcosgy-Xa1xXUArJSOenub6EfZHUSzc_bpJFWwQUf0/edit?usp=share_link"",""แม่ฮ่องสอน!J361"")+IMPORTRANGE(""https://docs.google.com/spreadsheets/d/1p7ERhsr0qZeSn-KSOdeHS9r0heI-lHtkcn2OH7hP0jQ/edit?usp=share_link"",""ลำปาง!"&amp;"J361"")+IMPORTRANGE(""https://docs.google.com/spreadsheets/d/1-uUXvimVhiU2U0bMN-xi2te0tS4X7DI2GLPnMjzl8cA/edit?usp=share_link"",""ลำพูน!J361"")+IMPORTRANGE(""https://docs.google.com/spreadsheets/d/17HrOaa5pBUI1onckFfumXB8xlg35qb2uBAFfF1D-Myo/edit?usp=shar"&amp;"e_link"",""สุโขทัย!J361"")+IMPORTRANGE(""https://docs.google.com/spreadsheets/d/1ubs5cl16eYL9gHbdHTJtmtYb9MGzHBs7CAphn8kNCgM/edit?usp=share_link"",""อุตรดิตถ์!J361"")+IMPORTRANGE(""https://docs.google.com/spreadsheets/d/1kII0BjS6CtVrBvI8IrytgPdxDrlyQDyigz"&amp;"MsohRtDMs/edit?usp=share_link"",""อุทัยธานี!J361"")
"),6423.62999999999)</f>
        <v>6423.6299999999901</v>
      </c>
      <c r="K361" s="38">
        <f t="shared" si="19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xicF4apzSqm0-jIpmueT4kyZtE-Cwn5zskl7GD4loQ/edit?usp=share_link"",""กำแพงเพชร!I362"")+IMPORTRANGE(""https://docs.google.com/spreadsheets/d/1ZNYWeiFoFA1K1U4xKWqRX29MBvEyRHXORjo734Gnq_c/edit?usp=share_li"&amp;"nk"",""เชียงราย!I362"")
+IMPORTRANGE(""https://docs.google.com/spreadsheets/d/1Jgv0Y7YlHDtsiDawwp-uvifEJ8HVaSn0k2aGHG8-hwM/edit?usp=share_link"",""เชียงใหม่!I362"")+IMPORTRANGE(""https://docs.google.com/spreadsheets/d/1JWG2rZePOz9pe-f-ObA-yDr0VoOX2kSb0qIi"&amp;"x2mTUo8/edit?usp=share_link"",""ตาก!I362"")+IMPORTRANGE(""https://docs.google.com/spreadsheets/d/10nSRjK08hx8Y6HgSOQKNw81lyY46Zc7U_Cj72hBMp9U/edit?usp=share_link"",""นครสวรรค์!I362"")+IMPORTRANGE(""https://docs.google.com/spreadsheets/d/1gFVb7qd7amutrIxAA"&amp;"oM7lcy35hllxznovot8lyOfvDo/edit?usp=share_link"",""น่าน!I362"")+IMPORTRANGE(""https://docs.google.com/spreadsheets/d/1K0Aa9s-6EuHE5M0FG1F9aHLXRCOV917xvycTdLdct0w/edit?usp=share_link"",""พะเยา!I362"")+IMPORTRANGE(""https://docs.google.com/spreadsheets/d/1Y"&amp;"9LPKx95PyL5OKy09d-KbKJSuuEZCFdkhYjwC0XQjBA/edit?usp=share_link"",""พิจิตร!I362"")+IMPORTRANGE(""https://docs.google.com/spreadsheets/d/16OMuOwy2eVqZcYWOouQtTpa8X1L23h4660uVHc0C8os/edit?usp=share_link"",""พิษณุโลก!I362"")+IMPORTRANGE(""https://docs.google."&amp;"com/spreadsheets/d/1GfgTldLG6k77HXaMQzaafODklYuucJZQNs_GAPEfZyY/edit?usp=share_link"",""เพชรบูรณ์!I362"")+IMPORTRANGE(""https://docs.google.com/spreadsheets/d/1gvTMYAnm7v1yG1BKWFtr0DnaTsq59oW9dwWvFgq6hs0/edit?usp=share_link"",""แพร่!I362"")+IMPORTRANGE("""&amp;"https://docs.google.com/spreadsheets/d/1Wbcosgy-Xa1xXUArJSOenub6EfZHUSzc_bpJFWwQUf0/edit?usp=share_link"",""แม่ฮ่องสอน!I362"")+IMPORTRANGE(""https://docs.google.com/spreadsheets/d/1p7ERhsr0qZeSn-KSOdeHS9r0heI-lHtkcn2OH7hP0jQ/edit?usp=share_link"",""ลำปาง!"&amp;"I362"")+IMPORTRANGE(""https://docs.google.com/spreadsheets/d/1-uUXvimVhiU2U0bMN-xi2te0tS4X7DI2GLPnMjzl8cA/edit?usp=share_link"",""ลำพูน!I362"")+IMPORTRANGE(""https://docs.google.com/spreadsheets/d/17HrOaa5pBUI1onckFfumXB8xlg35qb2uBAFfF1D-Myo/edit?usp=shar"&amp;"e_link"",""สุโขทัย!I362"")+IMPORTRANGE(""https://docs.google.com/spreadsheets/d/1ubs5cl16eYL9gHbdHTJtmtYb9MGzHBs7CAphn8kNCgM/edit?usp=share_link"",""อุตรดิตถ์!I362"")+IMPORTRANGE(""https://docs.google.com/spreadsheets/d/1kII0BjS6CtVrBvI8IrytgPdxDrlyQDyigz"&amp;"MsohRtDMs/edit?usp=share_link"",""อุทัยธานี!I362"")
"),4028)</f>
        <v>4028</v>
      </c>
      <c r="J362" s="270">
        <f ca="1">IFERROR(__xludf.DUMMYFUNCTION("IMPORTRANGE(""https://docs.google.com/spreadsheets/d/1KxicF4apzSqm0-jIpmueT4kyZtE-Cwn5zskl7GD4loQ/edit?usp=share_link"",""กำแพงเพชร!J362"")+IMPORTRANGE(""https://docs.google.com/spreadsheets/d/1ZNYWeiFoFA1K1U4xKWqRX29MBvEyRHXORjo734Gnq_c/edit?usp=share_li"&amp;"nk"",""เชียงราย!J362"")
+IMPORTRANGE(""https://docs.google.com/spreadsheets/d/1Jgv0Y7YlHDtsiDawwp-uvifEJ8HVaSn0k2aGHG8-hwM/edit?usp=share_link"",""เชียงใหม่!J362"")+IMPORTRANGE(""https://docs.google.com/spreadsheets/d/1JWG2rZePOz9pe-f-ObA-yDr0VoOX2kSb0qIi"&amp;"x2mTUo8/edit?usp=share_link"",""ตาก!J362"")+IMPORTRANGE(""https://docs.google.com/spreadsheets/d/10nSRjK08hx8Y6HgSOQKNw81lyY46Zc7U_Cj72hBMp9U/edit?usp=share_link"",""นครสวรรค์!J362"")+IMPORTRANGE(""https://docs.google.com/spreadsheets/d/1gFVb7qd7amutrIxAA"&amp;"oM7lcy35hllxznovot8lyOfvDo/edit?usp=share_link"",""น่าน!J362"")+IMPORTRANGE(""https://docs.google.com/spreadsheets/d/1K0Aa9s-6EuHE5M0FG1F9aHLXRCOV917xvycTdLdct0w/edit?usp=share_link"",""พะเยา!J362"")+IMPORTRANGE(""https://docs.google.com/spreadsheets/d/1Y"&amp;"9LPKx95PyL5OKy09d-KbKJSuuEZCFdkhYjwC0XQjBA/edit?usp=share_link"",""พิจิตร!J362"")+IMPORTRANGE(""https://docs.google.com/spreadsheets/d/16OMuOwy2eVqZcYWOouQtTpa8X1L23h4660uVHc0C8os/edit?usp=share_link"",""พิษณุโลก!J362"")+IMPORTRANGE(""https://docs.google."&amp;"com/spreadsheets/d/1GfgTldLG6k77HXaMQzaafODklYuucJZQNs_GAPEfZyY/edit?usp=share_link"",""เพชรบูรณ์!J362"")+IMPORTRANGE(""https://docs.google.com/spreadsheets/d/1gvTMYAnm7v1yG1BKWFtr0DnaTsq59oW9dwWvFgq6hs0/edit?usp=share_link"",""แพร่!J362"")+IMPORTRANGE("""&amp;"https://docs.google.com/spreadsheets/d/1Wbcosgy-Xa1xXUArJSOenub6EfZHUSzc_bpJFWwQUf0/edit?usp=share_link"",""แม่ฮ่องสอน!J362"")+IMPORTRANGE(""https://docs.google.com/spreadsheets/d/1p7ERhsr0qZeSn-KSOdeHS9r0heI-lHtkcn2OH7hP0jQ/edit?usp=share_link"",""ลำปาง!"&amp;"J362"")+IMPORTRANGE(""https://docs.google.com/spreadsheets/d/1-uUXvimVhiU2U0bMN-xi2te0tS4X7DI2GLPnMjzl8cA/edit?usp=share_link"",""ลำพูน!J362"")+IMPORTRANGE(""https://docs.google.com/spreadsheets/d/17HrOaa5pBUI1onckFfumXB8xlg35qb2uBAFfF1D-Myo/edit?usp=shar"&amp;"e_link"",""สุโขทัย!J362"")+IMPORTRANGE(""https://docs.google.com/spreadsheets/d/1ubs5cl16eYL9gHbdHTJtmtYb9MGzHBs7CAphn8kNCgM/edit?usp=share_link"",""อุตรดิตถ์!J362"")+IMPORTRANGE(""https://docs.google.com/spreadsheets/d/1kII0BjS6CtVrBvI8IrytgPdxDrlyQDyigz"&amp;"MsohRtDMs/edit?usp=share_link"",""อุทัยธานี!J362"")
"),471)</f>
        <v>471</v>
      </c>
      <c r="K362" s="38">
        <f t="shared" ca="1" si="190"/>
        <v>11.693147964250247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xicF4apzSqm0-jIpmueT4kyZtE-Cwn5zskl7GD4loQ/edit?usp=share_link"",""กำแพงเพชร!J363"")+IMPORTRANGE(""https://docs.google.com/spreadsheets/d/1ZNYWeiFoFA1K1U4xKWqRX29MBvEyRHXORjo734Gnq_c/edit?usp=share_li"&amp;"nk"",""เชียงราย!J363"")
+IMPORTRANGE(""https://docs.google.com/spreadsheets/d/1Jgv0Y7YlHDtsiDawwp-uvifEJ8HVaSn0k2aGHG8-hwM/edit?usp=share_link"",""เชียงใหม่!J363"")+IMPORTRANGE(""https://docs.google.com/spreadsheets/d/1JWG2rZePOz9pe-f-ObA-yDr0VoOX2kSb0qIi"&amp;"x2mTUo8/edit?usp=share_link"",""ตาก!J363"")+IMPORTRANGE(""https://docs.google.com/spreadsheets/d/10nSRjK08hx8Y6HgSOQKNw81lyY46Zc7U_Cj72hBMp9U/edit?usp=share_link"",""นครสวรรค์!J363"")+IMPORTRANGE(""https://docs.google.com/spreadsheets/d/1gFVb7qd7amutrIxAA"&amp;"oM7lcy35hllxznovot8lyOfvDo/edit?usp=share_link"",""น่าน!J363"")+IMPORTRANGE(""https://docs.google.com/spreadsheets/d/1K0Aa9s-6EuHE5M0FG1F9aHLXRCOV917xvycTdLdct0w/edit?usp=share_link"",""พะเยา!J363"")+IMPORTRANGE(""https://docs.google.com/spreadsheets/d/1Y"&amp;"9LPKx95PyL5OKy09d-KbKJSuuEZCFdkhYjwC0XQjBA/edit?usp=share_link"",""พิจิตร!J363"")+IMPORTRANGE(""https://docs.google.com/spreadsheets/d/16OMuOwy2eVqZcYWOouQtTpa8X1L23h4660uVHc0C8os/edit?usp=share_link"",""พิษณุโลก!J363"")+IMPORTRANGE(""https://docs.google."&amp;"com/spreadsheets/d/1GfgTldLG6k77HXaMQzaafODklYuucJZQNs_GAPEfZyY/edit?usp=share_link"",""เพชรบูรณ์!J363"")+IMPORTRANGE(""https://docs.google.com/spreadsheets/d/1gvTMYAnm7v1yG1BKWFtr0DnaTsq59oW9dwWvFgq6hs0/edit?usp=share_link"",""แพร่!J363"")+IMPORTRANGE("""&amp;"https://docs.google.com/spreadsheets/d/1Wbcosgy-Xa1xXUArJSOenub6EfZHUSzc_bpJFWwQUf0/edit?usp=share_link"",""แม่ฮ่องสอน!J363"")+IMPORTRANGE(""https://docs.google.com/spreadsheets/d/1p7ERhsr0qZeSn-KSOdeHS9r0heI-lHtkcn2OH7hP0jQ/edit?usp=share_link"",""ลำปาง!"&amp;"J363"")+IMPORTRANGE(""https://docs.google.com/spreadsheets/d/1-uUXvimVhiU2U0bMN-xi2te0tS4X7DI2GLPnMjzl8cA/edit?usp=share_link"",""ลำพูน!J363"")+IMPORTRANGE(""https://docs.google.com/spreadsheets/d/17HrOaa5pBUI1onckFfumXB8xlg35qb2uBAFfF1D-Myo/edit?usp=shar"&amp;"e_link"",""สุโขทัย!J363"")+IMPORTRANGE(""https://docs.google.com/spreadsheets/d/1ubs5cl16eYL9gHbdHTJtmtYb9MGzHBs7CAphn8kNCgM/edit?usp=share_link"",""อุตรดิตถ์!J363"")+IMPORTRANGE(""https://docs.google.com/spreadsheets/d/1kII0BjS6CtVrBvI8IrytgPdxDrlyQDyigz"&amp;"MsohRtDMs/edit?usp=share_link"",""อุทัยธานี!J363"")
"),3088.43)</f>
        <v>3088.43</v>
      </c>
      <c r="K363" s="38">
        <f t="shared" si="190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91">I365+I374</f>
        <v>9438</v>
      </c>
      <c r="J364" s="447">
        <f t="shared" ca="1" si="191"/>
        <v>2129</v>
      </c>
      <c r="K364" s="448">
        <f t="shared" ca="1" si="190"/>
        <v>22.557745285018012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3"/>
      <c r="D365" s="454" t="s">
        <v>166</v>
      </c>
      <c r="E365" s="455"/>
      <c r="F365" s="455"/>
      <c r="G365" s="456"/>
      <c r="H365" s="457" t="s">
        <v>35</v>
      </c>
      <c r="I365" s="458">
        <f ca="1">IFERROR(__xludf.DUMMYFUNCTION("IMPORTRANGE(""https://docs.google.com/spreadsheets/d/1KxicF4apzSqm0-jIpmueT4kyZtE-Cwn5zskl7GD4loQ/edit?usp=share_link"",""กำแพงเพชร!I365"")+IMPORTRANGE(""https://docs.google.com/spreadsheets/d/1ZNYWeiFoFA1K1U4xKWqRX29MBvEyRHXORjo734Gnq_c/edit?usp=share_li"&amp;"nk"",""เชียงราย!I365"")
+IMPORTRANGE(""https://docs.google.com/spreadsheets/d/1Jgv0Y7YlHDtsiDawwp-uvifEJ8HVaSn0k2aGHG8-hwM/edit?usp=share_link"",""เชียงใหม่!I365"")+IMPORTRANGE(""https://docs.google.com/spreadsheets/d/1JWG2rZePOz9pe-f-ObA-yDr0VoOX2kSb0qIi"&amp;"x2mTUo8/edit?usp=share_link"",""ตาก!I365"")+IMPORTRANGE(""https://docs.google.com/spreadsheets/d/10nSRjK08hx8Y6HgSOQKNw81lyY46Zc7U_Cj72hBMp9U/edit?usp=share_link"",""นครสวรรค์!I365"")+IMPORTRANGE(""https://docs.google.com/spreadsheets/d/1gFVb7qd7amutrIxAA"&amp;"oM7lcy35hllxznovot8lyOfvDo/edit?usp=share_link"",""น่าน!I365"")+IMPORTRANGE(""https://docs.google.com/spreadsheets/d/1K0Aa9s-6EuHE5M0FG1F9aHLXRCOV917xvycTdLdct0w/edit?usp=share_link"",""พะเยา!I365"")+IMPORTRANGE(""https://docs.google.com/spreadsheets/d/1Y"&amp;"9LPKx95PyL5OKy09d-KbKJSuuEZCFdkhYjwC0XQjBA/edit?usp=share_link"",""พิจิตร!I365"")+IMPORTRANGE(""https://docs.google.com/spreadsheets/d/16OMuOwy2eVqZcYWOouQtTpa8X1L23h4660uVHc0C8os/edit?usp=share_link"",""พิษณุโลก!I365"")+IMPORTRANGE(""https://docs.google."&amp;"com/spreadsheets/d/1GfgTldLG6k77HXaMQzaafODklYuucJZQNs_GAPEfZyY/edit?usp=share_link"",""เพชรบูรณ์!I365"")+IMPORTRANGE(""https://docs.google.com/spreadsheets/d/1gvTMYAnm7v1yG1BKWFtr0DnaTsq59oW9dwWvFgq6hs0/edit?usp=share_link"",""แพร่!I365"")+IMPORTRANGE("""&amp;"https://docs.google.com/spreadsheets/d/1Wbcosgy-Xa1xXUArJSOenub6EfZHUSzc_bpJFWwQUf0/edit?usp=share_link"",""แม่ฮ่องสอน!I365"")+IMPORTRANGE(""https://docs.google.com/spreadsheets/d/1p7ERhsr0qZeSn-KSOdeHS9r0heI-lHtkcn2OH7hP0jQ/edit?usp=share_link"",""ลำปาง!"&amp;"I365"")+IMPORTRANGE(""https://docs.google.com/spreadsheets/d/1-uUXvimVhiU2U0bMN-xi2te0tS4X7DI2GLPnMjzl8cA/edit?usp=share_link"",""ลำพูน!I365"")+IMPORTRANGE(""https://docs.google.com/spreadsheets/d/17HrOaa5pBUI1onckFfumXB8xlg35qb2uBAFfF1D-Myo/edit?usp=shar"&amp;"e_link"",""สุโขทัย!I365"")+IMPORTRANGE(""https://docs.google.com/spreadsheets/d/1ubs5cl16eYL9gHbdHTJtmtYb9MGzHBs7CAphn8kNCgM/edit?usp=share_link"",""อุตรดิตถ์!I365"")+IMPORTRANGE(""https://docs.google.com/spreadsheets/d/1kII0BjS6CtVrBvI8IrytgPdxDrlyQDyigz"&amp;"MsohRtDMs/edit?usp=share_link"",""อุทัยธานี!I365"")
"),1343)</f>
        <v>1343</v>
      </c>
      <c r="J365" s="459">
        <f ca="1">J372</f>
        <v>79</v>
      </c>
      <c r="K365" s="460">
        <f t="shared" ca="1" si="190"/>
        <v>5.882352941176471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3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xicF4apzSqm0-jIpmueT4kyZtE-Cwn5zskl7GD4loQ/edit?usp=share_link"",""กำแพงเพชร!J368"")+IMPORTRANGE(""https://docs.google.com/spreadsheets/d/1ZNYWeiFoFA1K1U4xKWqRX29MBvEyRHXORjo734Gnq_c/edit?usp=share_li"&amp;"nk"",""เชียงราย!J368"")
+IMPORTRANGE(""https://docs.google.com/spreadsheets/d/1Jgv0Y7YlHDtsiDawwp-uvifEJ8HVaSn0k2aGHG8-hwM/edit?usp=share_link"",""เชียงใหม่!J368"")+IMPORTRANGE(""https://docs.google.com/spreadsheets/d/1JWG2rZePOz9pe-f-ObA-yDr0VoOX2kSb0qIi"&amp;"x2mTUo8/edit?usp=share_link"",""ตาก!J368"")+IMPORTRANGE(""https://docs.google.com/spreadsheets/d/10nSRjK08hx8Y6HgSOQKNw81lyY46Zc7U_Cj72hBMp9U/edit?usp=share_link"",""นครสวรรค์!J368"")+IMPORTRANGE(""https://docs.google.com/spreadsheets/d/1gFVb7qd7amutrIxAA"&amp;"oM7lcy35hllxznovot8lyOfvDo/edit?usp=share_link"",""น่าน!J368"")+IMPORTRANGE(""https://docs.google.com/spreadsheets/d/1K0Aa9s-6EuHE5M0FG1F9aHLXRCOV917xvycTdLdct0w/edit?usp=share_link"",""พะเยา!J368"")+IMPORTRANGE(""https://docs.google.com/spreadsheets/d/1Y"&amp;"9LPKx95PyL5OKy09d-KbKJSuuEZCFdkhYjwC0XQjBA/edit?usp=share_link"",""พิจิตร!J368"")+IMPORTRANGE(""https://docs.google.com/spreadsheets/d/16OMuOwy2eVqZcYWOouQtTpa8X1L23h4660uVHc0C8os/edit?usp=share_link"",""พิษณุโลก!J368"")+IMPORTRANGE(""https://docs.google."&amp;"com/spreadsheets/d/1GfgTldLG6k77HXaMQzaafODklYuucJZQNs_GAPEfZyY/edit?usp=share_link"",""เพชรบูรณ์!J368"")+IMPORTRANGE(""https://docs.google.com/spreadsheets/d/1gvTMYAnm7v1yG1BKWFtr0DnaTsq59oW9dwWvFgq6hs0/edit?usp=share_link"",""แพร่!J368"")+IMPORTRANGE("""&amp;"https://docs.google.com/spreadsheets/d/1Wbcosgy-Xa1xXUArJSOenub6EfZHUSzc_bpJFWwQUf0/edit?usp=share_link"",""แม่ฮ่องสอน!J368"")+IMPORTRANGE(""https://docs.google.com/spreadsheets/d/1p7ERhsr0qZeSn-KSOdeHS9r0heI-lHtkcn2OH7hP0jQ/edit?usp=share_link"",""ลำปาง!"&amp;"J368"")+IMPORTRANGE(""https://docs.google.com/spreadsheets/d/1-uUXvimVhiU2U0bMN-xi2te0tS4X7DI2GLPnMjzl8cA/edit?usp=share_link"",""ลำพูน!J368"")+IMPORTRANGE(""https://docs.google.com/spreadsheets/d/17HrOaa5pBUI1onckFfumXB8xlg35qb2uBAFfF1D-Myo/edit?usp=shar"&amp;"e_link"",""สุโขทัย!J368"")+IMPORTRANGE(""https://docs.google.com/spreadsheets/d/1ubs5cl16eYL9gHbdHTJtmtYb9MGzHBs7CAphn8kNCgM/edit?usp=share_link"",""อุตรดิตถ์!J368"")+IMPORTRANGE(""https://docs.google.com/spreadsheets/d/1kII0BjS6CtVrBvI8IrytgPdxDrlyQDyigz"&amp;"MsohRtDMs/edit?usp=share_link"",""อุทัยธานี!J368"")
"),555)</f>
        <v>555</v>
      </c>
      <c r="K368" s="38">
        <f t="shared" ref="K368:K374" si="19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xicF4apzSqm0-jIpmueT4kyZtE-Cwn5zskl7GD4loQ/edit?usp=share_link"",""กำแพงเพชร!I369"")+IMPORTRANGE(""https://docs.google.com/spreadsheets/d/1ZNYWeiFoFA1K1U4xKWqRX29MBvEyRHXORjo734Gnq_c/edit?usp=share_li"&amp;"nk"",""เชียงราย!I369"")
+IMPORTRANGE(""https://docs.google.com/spreadsheets/d/1Jgv0Y7YlHDtsiDawwp-uvifEJ8HVaSn0k2aGHG8-hwM/edit?usp=share_link"",""เชียงใหม่!I369"")+IMPORTRANGE(""https://docs.google.com/spreadsheets/d/1JWG2rZePOz9pe-f-ObA-yDr0VoOX2kSb0qIi"&amp;"x2mTUo8/edit?usp=share_link"",""ตาก!I369"")+IMPORTRANGE(""https://docs.google.com/spreadsheets/d/10nSRjK08hx8Y6HgSOQKNw81lyY46Zc7U_Cj72hBMp9U/edit?usp=share_link"",""นครสวรรค์!I369"")+IMPORTRANGE(""https://docs.google.com/spreadsheets/d/1gFVb7qd7amutrIxAA"&amp;"oM7lcy35hllxznovot8lyOfvDo/edit?usp=share_link"",""น่าน!I369"")+IMPORTRANGE(""https://docs.google.com/spreadsheets/d/1K0Aa9s-6EuHE5M0FG1F9aHLXRCOV917xvycTdLdct0w/edit?usp=share_link"",""พะเยา!I369"")+IMPORTRANGE(""https://docs.google.com/spreadsheets/d/1Y"&amp;"9LPKx95PyL5OKy09d-KbKJSuuEZCFdkhYjwC0XQjBA/edit?usp=share_link"",""พิจิตร!I369"")+IMPORTRANGE(""https://docs.google.com/spreadsheets/d/16OMuOwy2eVqZcYWOouQtTpa8X1L23h4660uVHc0C8os/edit?usp=share_link"",""พิษณุโลก!I369"")+IMPORTRANGE(""https://docs.google."&amp;"com/spreadsheets/d/1GfgTldLG6k77HXaMQzaafODklYuucJZQNs_GAPEfZyY/edit?usp=share_link"",""เพชรบูรณ์!I369"")+IMPORTRANGE(""https://docs.google.com/spreadsheets/d/1gvTMYAnm7v1yG1BKWFtr0DnaTsq59oW9dwWvFgq6hs0/edit?usp=share_link"",""แพร่!I369"")+IMPORTRANGE("""&amp;"https://docs.google.com/spreadsheets/d/1Wbcosgy-Xa1xXUArJSOenub6EfZHUSzc_bpJFWwQUf0/edit?usp=share_link"",""แม่ฮ่องสอน!I369"")+IMPORTRANGE(""https://docs.google.com/spreadsheets/d/1p7ERhsr0qZeSn-KSOdeHS9r0heI-lHtkcn2OH7hP0jQ/edit?usp=share_link"",""ลำปาง!"&amp;"I369"")+IMPORTRANGE(""https://docs.google.com/spreadsheets/d/1-uUXvimVhiU2U0bMN-xi2te0tS4X7DI2GLPnMjzl8cA/edit?usp=share_link"",""ลำพูน!I369"")+IMPORTRANGE(""https://docs.google.com/spreadsheets/d/17HrOaa5pBUI1onckFfumXB8xlg35qb2uBAFfF1D-Myo/edit?usp=shar"&amp;"e_link"",""สุโขทัย!I369"")+IMPORTRANGE(""https://docs.google.com/spreadsheets/d/1ubs5cl16eYL9gHbdHTJtmtYb9MGzHBs7CAphn8kNCgM/edit?usp=share_link"",""อุตรดิตถ์!I369"")+IMPORTRANGE(""https://docs.google.com/spreadsheets/d/1kII0BjS6CtVrBvI8IrytgPdxDrlyQDyigz"&amp;"MsohRtDMs/edit?usp=share_link"",""อุทัยธานี!I369"")
"),13540)</f>
        <v>13540</v>
      </c>
      <c r="J369" s="270">
        <f ca="1">IFERROR(__xludf.DUMMYFUNCTION("IMPORTRANGE(""https://docs.google.com/spreadsheets/d/1KxicF4apzSqm0-jIpmueT4kyZtE-Cwn5zskl7GD4loQ/edit?usp=share_link"",""กำแพงเพชร!J369"")+IMPORTRANGE(""https://docs.google.com/spreadsheets/d/1ZNYWeiFoFA1K1U4xKWqRX29MBvEyRHXORjo734Gnq_c/edit?usp=share_li"&amp;"nk"",""เชียงราย!J369"")
+IMPORTRANGE(""https://docs.google.com/spreadsheets/d/1Jgv0Y7YlHDtsiDawwp-uvifEJ8HVaSn0k2aGHG8-hwM/edit?usp=share_link"",""เชียงใหม่!J369"")+IMPORTRANGE(""https://docs.google.com/spreadsheets/d/1JWG2rZePOz9pe-f-ObA-yDr0VoOX2kSb0qIi"&amp;"x2mTUo8/edit?usp=share_link"",""ตาก!J369"")+IMPORTRANGE(""https://docs.google.com/spreadsheets/d/10nSRjK08hx8Y6HgSOQKNw81lyY46Zc7U_Cj72hBMp9U/edit?usp=share_link"",""นครสวรรค์!J369"")+IMPORTRANGE(""https://docs.google.com/spreadsheets/d/1gFVb7qd7amutrIxAA"&amp;"oM7lcy35hllxznovot8lyOfvDo/edit?usp=share_link"",""น่าน!J369"")+IMPORTRANGE(""https://docs.google.com/spreadsheets/d/1K0Aa9s-6EuHE5M0FG1F9aHLXRCOV917xvycTdLdct0w/edit?usp=share_link"",""พะเยา!J369"")+IMPORTRANGE(""https://docs.google.com/spreadsheets/d/1Y"&amp;"9LPKx95PyL5OKy09d-KbKJSuuEZCFdkhYjwC0XQjBA/edit?usp=share_link"",""พิจิตร!J369"")+IMPORTRANGE(""https://docs.google.com/spreadsheets/d/16OMuOwy2eVqZcYWOouQtTpa8X1L23h4660uVHc0C8os/edit?usp=share_link"",""พิษณุโลก!J369"")+IMPORTRANGE(""https://docs.google."&amp;"com/spreadsheets/d/1GfgTldLG6k77HXaMQzaafODklYuucJZQNs_GAPEfZyY/edit?usp=share_link"",""เพชรบูรณ์!J369"")+IMPORTRANGE(""https://docs.google.com/spreadsheets/d/1gvTMYAnm7v1yG1BKWFtr0DnaTsq59oW9dwWvFgq6hs0/edit?usp=share_link"",""แพร่!J369"")+IMPORTRANGE("""&amp;"https://docs.google.com/spreadsheets/d/1Wbcosgy-Xa1xXUArJSOenub6EfZHUSzc_bpJFWwQUf0/edit?usp=share_link"",""แม่ฮ่องสอน!J369"")+IMPORTRANGE(""https://docs.google.com/spreadsheets/d/1p7ERhsr0qZeSn-KSOdeHS9r0heI-lHtkcn2OH7hP0jQ/edit?usp=share_link"",""ลำปาง!"&amp;"J369"")+IMPORTRANGE(""https://docs.google.com/spreadsheets/d/1-uUXvimVhiU2U0bMN-xi2te0tS4X7DI2GLPnMjzl8cA/edit?usp=share_link"",""ลำพูน!J369"")+IMPORTRANGE(""https://docs.google.com/spreadsheets/d/17HrOaa5pBUI1onckFfumXB8xlg35qb2uBAFfF1D-Myo/edit?usp=shar"&amp;"e_link"",""สุโขทัย!J369"")+IMPORTRANGE(""https://docs.google.com/spreadsheets/d/1ubs5cl16eYL9gHbdHTJtmtYb9MGzHBs7CAphn8kNCgM/edit?usp=share_link"",""อุตรดิตถ์!J369"")+IMPORTRANGE(""https://docs.google.com/spreadsheets/d/1kII0BjS6CtVrBvI8IrytgPdxDrlyQDyigz"&amp;"MsohRtDMs/edit?usp=share_link"",""อุทัยธานี!J369"")
"),4010.63)</f>
        <v>4010.63</v>
      </c>
      <c r="K369" s="38">
        <f t="shared" ca="1" si="192"/>
        <v>29.620605612998524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xicF4apzSqm0-jIpmueT4kyZtE-Cwn5zskl7GD4loQ/edit?usp=share_link"",""กำแพงเพชร!I370"")+IMPORTRANGE(""https://docs.google.com/spreadsheets/d/1ZNYWeiFoFA1K1U4xKWqRX29MBvEyRHXORjo734Gnq_c/edit?usp=share_li"&amp;"nk"",""เชียงราย!I370"")
+IMPORTRANGE(""https://docs.google.com/spreadsheets/d/1Jgv0Y7YlHDtsiDawwp-uvifEJ8HVaSn0k2aGHG8-hwM/edit?usp=share_link"",""เชียงใหม่!I370"")+IMPORTRANGE(""https://docs.google.com/spreadsheets/d/1JWG2rZePOz9pe-f-ObA-yDr0VoOX2kSb0qIi"&amp;"x2mTUo8/edit?usp=share_link"",""ตาก!I370"")+IMPORTRANGE(""https://docs.google.com/spreadsheets/d/10nSRjK08hx8Y6HgSOQKNw81lyY46Zc7U_Cj72hBMp9U/edit?usp=share_link"",""นครสวรรค์!I370"")+IMPORTRANGE(""https://docs.google.com/spreadsheets/d/1gFVb7qd7amutrIxAA"&amp;"oM7lcy35hllxznovot8lyOfvDo/edit?usp=share_link"",""น่าน!I370"")+IMPORTRANGE(""https://docs.google.com/spreadsheets/d/1K0Aa9s-6EuHE5M0FG1F9aHLXRCOV917xvycTdLdct0w/edit?usp=share_link"",""พะเยา!I370"")+IMPORTRANGE(""https://docs.google.com/spreadsheets/d/1Y"&amp;"9LPKx95PyL5OKy09d-KbKJSuuEZCFdkhYjwC0XQjBA/edit?usp=share_link"",""พิจิตร!I370"")+IMPORTRANGE(""https://docs.google.com/spreadsheets/d/16OMuOwy2eVqZcYWOouQtTpa8X1L23h4660uVHc0C8os/edit?usp=share_link"",""พิษณุโลก!I370"")+IMPORTRANGE(""https://docs.google."&amp;"com/spreadsheets/d/1GfgTldLG6k77HXaMQzaafODklYuucJZQNs_GAPEfZyY/edit?usp=share_link"",""เพชรบูรณ์!I370"")+IMPORTRANGE(""https://docs.google.com/spreadsheets/d/1gvTMYAnm7v1yG1BKWFtr0DnaTsq59oW9dwWvFgq6hs0/edit?usp=share_link"",""แพร่!I370"")+IMPORTRANGE("""&amp;"https://docs.google.com/spreadsheets/d/1Wbcosgy-Xa1xXUArJSOenub6EfZHUSzc_bpJFWwQUf0/edit?usp=share_link"",""แม่ฮ่องสอน!I370"")+IMPORTRANGE(""https://docs.google.com/spreadsheets/d/1p7ERhsr0qZeSn-KSOdeHS9r0heI-lHtkcn2OH7hP0jQ/edit?usp=share_link"",""ลำปาง!"&amp;"I370"")+IMPORTRANGE(""https://docs.google.com/spreadsheets/d/1-uUXvimVhiU2U0bMN-xi2te0tS4X7DI2GLPnMjzl8cA/edit?usp=share_link"",""ลำพูน!I370"")+IMPORTRANGE(""https://docs.google.com/spreadsheets/d/17HrOaa5pBUI1onckFfumXB8xlg35qb2uBAFfF1D-Myo/edit?usp=shar"&amp;"e_link"",""สุโขทัย!I370"")+IMPORTRANGE(""https://docs.google.com/spreadsheets/d/1ubs5cl16eYL9gHbdHTJtmtYb9MGzHBs7CAphn8kNCgM/edit?usp=share_link"",""อุตรดิตถ์!I370"")+IMPORTRANGE(""https://docs.google.com/spreadsheets/d/1kII0BjS6CtVrBvI8IrytgPdxDrlyQDyigz"&amp;"MsohRtDMs/edit?usp=share_link"",""อุทัยธานี!I370"")
"),1343)</f>
        <v>1343</v>
      </c>
      <c r="J370" s="270">
        <f ca="1">IFERROR(__xludf.DUMMYFUNCTION("IMPORTRANGE(""https://docs.google.com/spreadsheets/d/1KxicF4apzSqm0-jIpmueT4kyZtE-Cwn5zskl7GD4loQ/edit?usp=share_link"",""กำแพงเพชร!J370"")+IMPORTRANGE(""https://docs.google.com/spreadsheets/d/1ZNYWeiFoFA1K1U4xKWqRX29MBvEyRHXORjo734Gnq_c/edit?usp=share_li"&amp;"nk"",""เชียงราย!J370"")
+IMPORTRANGE(""https://docs.google.com/spreadsheets/d/1Jgv0Y7YlHDtsiDawwp-uvifEJ8HVaSn0k2aGHG8-hwM/edit?usp=share_link"",""เชียงใหม่!J370"")+IMPORTRANGE(""https://docs.google.com/spreadsheets/d/1JWG2rZePOz9pe-f-ObA-yDr0VoOX2kSb0qIi"&amp;"x2mTUo8/edit?usp=share_link"",""ตาก!J370"")+IMPORTRANGE(""https://docs.google.com/spreadsheets/d/10nSRjK08hx8Y6HgSOQKNw81lyY46Zc7U_Cj72hBMp9U/edit?usp=share_link"",""นครสวรรค์!J370"")+IMPORTRANGE(""https://docs.google.com/spreadsheets/d/1gFVb7qd7amutrIxAA"&amp;"oM7lcy35hllxznovot8lyOfvDo/edit?usp=share_link"",""น่าน!J370"")+IMPORTRANGE(""https://docs.google.com/spreadsheets/d/1K0Aa9s-6EuHE5M0FG1F9aHLXRCOV917xvycTdLdct0w/edit?usp=share_link"",""พะเยา!J370"")+IMPORTRANGE(""https://docs.google.com/spreadsheets/d/1Y"&amp;"9LPKx95PyL5OKy09d-KbKJSuuEZCFdkhYjwC0XQjBA/edit?usp=share_link"",""พิจิตร!J370"")+IMPORTRANGE(""https://docs.google.com/spreadsheets/d/16OMuOwy2eVqZcYWOouQtTpa8X1L23h4660uVHc0C8os/edit?usp=share_link"",""พิษณุโลก!J370"")+IMPORTRANGE(""https://docs.google."&amp;"com/spreadsheets/d/1GfgTldLG6k77HXaMQzaafODklYuucJZQNs_GAPEfZyY/edit?usp=share_link"",""เพชรบูรณ์!J370"")+IMPORTRANGE(""https://docs.google.com/spreadsheets/d/1gvTMYAnm7v1yG1BKWFtr0DnaTsq59oW9dwWvFgq6hs0/edit?usp=share_link"",""แพร่!J370"")+IMPORTRANGE("""&amp;"https://docs.google.com/spreadsheets/d/1Wbcosgy-Xa1xXUArJSOenub6EfZHUSzc_bpJFWwQUf0/edit?usp=share_link"",""แม่ฮ่องสอน!J370"")+IMPORTRANGE(""https://docs.google.com/spreadsheets/d/1p7ERhsr0qZeSn-KSOdeHS9r0heI-lHtkcn2OH7hP0jQ/edit?usp=share_link"",""ลำปาง!"&amp;"J370"")+IMPORTRANGE(""https://docs.google.com/spreadsheets/d/1-uUXvimVhiU2U0bMN-xi2te0tS4X7DI2GLPnMjzl8cA/edit?usp=share_link"",""ลำพูน!J370"")+IMPORTRANGE(""https://docs.google.com/spreadsheets/d/17HrOaa5pBUI1onckFfumXB8xlg35qb2uBAFfF1D-Myo/edit?usp=shar"&amp;"e_link"",""สุโขทัย!J370"")+IMPORTRANGE(""https://docs.google.com/spreadsheets/d/1ubs5cl16eYL9gHbdHTJtmtYb9MGzHBs7CAphn8kNCgM/edit?usp=share_link"",""อุตรดิตถ์!J370"")+IMPORTRANGE(""https://docs.google.com/spreadsheets/d/1kII0BjS6CtVrBvI8IrytgPdxDrlyQDyigz"&amp;"MsohRtDMs/edit?usp=share_link"",""อุทัยธานี!J370"")
"),341)</f>
        <v>341</v>
      </c>
      <c r="K370" s="38">
        <f t="shared" ca="1" si="192"/>
        <v>25.390915860014893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xicF4apzSqm0-jIpmueT4kyZtE-Cwn5zskl7GD4loQ/edit?usp=share_link"",""กำแพงเพชร!J371"")+IMPORTRANGE(""https://docs.google.com/spreadsheets/d/1ZNYWeiFoFA1K1U4xKWqRX29MBvEyRHXORjo734Gnq_c/edit?usp=share_li"&amp;"nk"",""เชียงราย!J371"")
+IMPORTRANGE(""https://docs.google.com/spreadsheets/d/1Jgv0Y7YlHDtsiDawwp-uvifEJ8HVaSn0k2aGHG8-hwM/edit?usp=share_link"",""เชียงใหม่!J371"")+IMPORTRANGE(""https://docs.google.com/spreadsheets/d/1JWG2rZePOz9pe-f-ObA-yDr0VoOX2kSb0qIi"&amp;"x2mTUo8/edit?usp=share_link"",""ตาก!J371"")+IMPORTRANGE(""https://docs.google.com/spreadsheets/d/10nSRjK08hx8Y6HgSOQKNw81lyY46Zc7U_Cj72hBMp9U/edit?usp=share_link"",""นครสวรรค์!J371"")+IMPORTRANGE(""https://docs.google.com/spreadsheets/d/1gFVb7qd7amutrIxAA"&amp;"oM7lcy35hllxznovot8lyOfvDo/edit?usp=share_link"",""น่าน!J371"")+IMPORTRANGE(""https://docs.google.com/spreadsheets/d/1K0Aa9s-6EuHE5M0FG1F9aHLXRCOV917xvycTdLdct0w/edit?usp=share_link"",""พะเยา!J371"")+IMPORTRANGE(""https://docs.google.com/spreadsheets/d/1Y"&amp;"9LPKx95PyL5OKy09d-KbKJSuuEZCFdkhYjwC0XQjBA/edit?usp=share_link"",""พิจิตร!J371"")+IMPORTRANGE(""https://docs.google.com/spreadsheets/d/16OMuOwy2eVqZcYWOouQtTpa8X1L23h4660uVHc0C8os/edit?usp=share_link"",""พิษณุโลก!J371"")+IMPORTRANGE(""https://docs.google."&amp;"com/spreadsheets/d/1GfgTldLG6k77HXaMQzaafODklYuucJZQNs_GAPEfZyY/edit?usp=share_link"",""เพชรบูรณ์!J371"")+IMPORTRANGE(""https://docs.google.com/spreadsheets/d/1gvTMYAnm7v1yG1BKWFtr0DnaTsq59oW9dwWvFgq6hs0/edit?usp=share_link"",""แพร่!J371"")+IMPORTRANGE("""&amp;"https://docs.google.com/spreadsheets/d/1Wbcosgy-Xa1xXUArJSOenub6EfZHUSzc_bpJFWwQUf0/edit?usp=share_link"",""แม่ฮ่องสอน!J371"")+IMPORTRANGE(""https://docs.google.com/spreadsheets/d/1p7ERhsr0qZeSn-KSOdeHS9r0heI-lHtkcn2OH7hP0jQ/edit?usp=share_link"",""ลำปาง!"&amp;"J371"")+IMPORTRANGE(""https://docs.google.com/spreadsheets/d/1-uUXvimVhiU2U0bMN-xi2te0tS4X7DI2GLPnMjzl8cA/edit?usp=share_link"",""ลำพูน!J371"")+IMPORTRANGE(""https://docs.google.com/spreadsheets/d/17HrOaa5pBUI1onckFfumXB8xlg35qb2uBAFfF1D-Myo/edit?usp=shar"&amp;"e_link"",""สุโขทัย!J371"")+IMPORTRANGE(""https://docs.google.com/spreadsheets/d/1ubs5cl16eYL9gHbdHTJtmtYb9MGzHBs7CAphn8kNCgM/edit?usp=share_link"",""อุตรดิตถ์!J371"")+IMPORTRANGE(""https://docs.google.com/spreadsheets/d/1kII0BjS6CtVrBvI8IrytgPdxDrlyQDyigz"&amp;"MsohRtDMs/edit?usp=share_link"",""อุทัยธานี!J371"")
"),3160.69)</f>
        <v>3160.69</v>
      </c>
      <c r="K371" s="38">
        <f t="shared" si="19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xicF4apzSqm0-jIpmueT4kyZtE-Cwn5zskl7GD4loQ/edit?usp=share_link"",""กำแพงเพชร!I372"")+IMPORTRANGE(""https://docs.google.com/spreadsheets/d/1ZNYWeiFoFA1K1U4xKWqRX29MBvEyRHXORjo734Gnq_c/edit?usp=share_li"&amp;"nk"",""เชียงราย!I372"")
+IMPORTRANGE(""https://docs.google.com/spreadsheets/d/1Jgv0Y7YlHDtsiDawwp-uvifEJ8HVaSn0k2aGHG8-hwM/edit?usp=share_link"",""เชียงใหม่!I372"")+IMPORTRANGE(""https://docs.google.com/spreadsheets/d/1JWG2rZePOz9pe-f-ObA-yDr0VoOX2kSb0qIi"&amp;"x2mTUo8/edit?usp=share_link"",""ตาก!I372"")+IMPORTRANGE(""https://docs.google.com/spreadsheets/d/10nSRjK08hx8Y6HgSOQKNw81lyY46Zc7U_Cj72hBMp9U/edit?usp=share_link"",""นครสวรรค์!I372"")+IMPORTRANGE(""https://docs.google.com/spreadsheets/d/1gFVb7qd7amutrIxAA"&amp;"oM7lcy35hllxznovot8lyOfvDo/edit?usp=share_link"",""น่าน!I372"")+IMPORTRANGE(""https://docs.google.com/spreadsheets/d/1K0Aa9s-6EuHE5M0FG1F9aHLXRCOV917xvycTdLdct0w/edit?usp=share_link"",""พะเยา!I372"")+IMPORTRANGE(""https://docs.google.com/spreadsheets/d/1Y"&amp;"9LPKx95PyL5OKy09d-KbKJSuuEZCFdkhYjwC0XQjBA/edit?usp=share_link"",""พิจิตร!I372"")+IMPORTRANGE(""https://docs.google.com/spreadsheets/d/16OMuOwy2eVqZcYWOouQtTpa8X1L23h4660uVHc0C8os/edit?usp=share_link"",""พิษณุโลก!I372"")+IMPORTRANGE(""https://docs.google."&amp;"com/spreadsheets/d/1GfgTldLG6k77HXaMQzaafODklYuucJZQNs_GAPEfZyY/edit?usp=share_link"",""เพชรบูรณ์!I372"")+IMPORTRANGE(""https://docs.google.com/spreadsheets/d/1gvTMYAnm7v1yG1BKWFtr0DnaTsq59oW9dwWvFgq6hs0/edit?usp=share_link"",""แพร่!I372"")+IMPORTRANGE("""&amp;"https://docs.google.com/spreadsheets/d/1Wbcosgy-Xa1xXUArJSOenub6EfZHUSzc_bpJFWwQUf0/edit?usp=share_link"",""แม่ฮ่องสอน!I372"")+IMPORTRANGE(""https://docs.google.com/spreadsheets/d/1p7ERhsr0qZeSn-KSOdeHS9r0heI-lHtkcn2OH7hP0jQ/edit?usp=share_link"",""ลำปาง!"&amp;"I372"")+IMPORTRANGE(""https://docs.google.com/spreadsheets/d/1-uUXvimVhiU2U0bMN-xi2te0tS4X7DI2GLPnMjzl8cA/edit?usp=share_link"",""ลำพูน!I372"")+IMPORTRANGE(""https://docs.google.com/spreadsheets/d/17HrOaa5pBUI1onckFfumXB8xlg35qb2uBAFfF1D-Myo/edit?usp=shar"&amp;"e_link"",""สุโขทัย!I372"")+IMPORTRANGE(""https://docs.google.com/spreadsheets/d/1ubs5cl16eYL9gHbdHTJtmtYb9MGzHBs7CAphn8kNCgM/edit?usp=share_link"",""อุตรดิตถ์!I372"")+IMPORTRANGE(""https://docs.google.com/spreadsheets/d/1kII0BjS6CtVrBvI8IrytgPdxDrlyQDyigz"&amp;"MsohRtDMs/edit?usp=share_link"",""อุทัยธานี!I372"")
"),1343)</f>
        <v>1343</v>
      </c>
      <c r="J372" s="270">
        <f ca="1">IFERROR(__xludf.DUMMYFUNCTION("IMPORTRANGE(""https://docs.google.com/spreadsheets/d/1KxicF4apzSqm0-jIpmueT4kyZtE-Cwn5zskl7GD4loQ/edit?usp=share_link"",""กำแพงเพชร!J372"")+IMPORTRANGE(""https://docs.google.com/spreadsheets/d/1ZNYWeiFoFA1K1U4xKWqRX29MBvEyRHXORjo734Gnq_c/edit?usp=share_li"&amp;"nk"",""เชียงราย!J372"")
+IMPORTRANGE(""https://docs.google.com/spreadsheets/d/1Jgv0Y7YlHDtsiDawwp-uvifEJ8HVaSn0k2aGHG8-hwM/edit?usp=share_link"",""เชียงใหม่!J372"")+IMPORTRANGE(""https://docs.google.com/spreadsheets/d/1JWG2rZePOz9pe-f-ObA-yDr0VoOX2kSb0qIi"&amp;"x2mTUo8/edit?usp=share_link"",""ตาก!J372"")+IMPORTRANGE(""https://docs.google.com/spreadsheets/d/10nSRjK08hx8Y6HgSOQKNw81lyY46Zc7U_Cj72hBMp9U/edit?usp=share_link"",""นครสวรรค์!J372"")+IMPORTRANGE(""https://docs.google.com/spreadsheets/d/1gFVb7qd7amutrIxAA"&amp;"oM7lcy35hllxznovot8lyOfvDo/edit?usp=share_link"",""น่าน!J372"")+IMPORTRANGE(""https://docs.google.com/spreadsheets/d/1K0Aa9s-6EuHE5M0FG1F9aHLXRCOV917xvycTdLdct0w/edit?usp=share_link"",""พะเยา!J372"")+IMPORTRANGE(""https://docs.google.com/spreadsheets/d/1Y"&amp;"9LPKx95PyL5OKy09d-KbKJSuuEZCFdkhYjwC0XQjBA/edit?usp=share_link"",""พิจิตร!J372"")+IMPORTRANGE(""https://docs.google.com/spreadsheets/d/16OMuOwy2eVqZcYWOouQtTpa8X1L23h4660uVHc0C8os/edit?usp=share_link"",""พิษณุโลก!J372"")+IMPORTRANGE(""https://docs.google."&amp;"com/spreadsheets/d/1GfgTldLG6k77HXaMQzaafODklYuucJZQNs_GAPEfZyY/edit?usp=share_link"",""เพชรบูรณ์!J372"")+IMPORTRANGE(""https://docs.google.com/spreadsheets/d/1gvTMYAnm7v1yG1BKWFtr0DnaTsq59oW9dwWvFgq6hs0/edit?usp=share_link"",""แพร่!J372"")+IMPORTRANGE("""&amp;"https://docs.google.com/spreadsheets/d/1Wbcosgy-Xa1xXUArJSOenub6EfZHUSzc_bpJFWwQUf0/edit?usp=share_link"",""แม่ฮ่องสอน!J372"")+IMPORTRANGE(""https://docs.google.com/spreadsheets/d/1p7ERhsr0qZeSn-KSOdeHS9r0heI-lHtkcn2OH7hP0jQ/edit?usp=share_link"",""ลำปาง!"&amp;"J372"")+IMPORTRANGE(""https://docs.google.com/spreadsheets/d/1-uUXvimVhiU2U0bMN-xi2te0tS4X7DI2GLPnMjzl8cA/edit?usp=share_link"",""ลำพูน!J372"")+IMPORTRANGE(""https://docs.google.com/spreadsheets/d/17HrOaa5pBUI1onckFfumXB8xlg35qb2uBAFfF1D-Myo/edit?usp=shar"&amp;"e_link"",""สุโขทัย!J372"")+IMPORTRANGE(""https://docs.google.com/spreadsheets/d/1ubs5cl16eYL9gHbdHTJtmtYb9MGzHBs7CAphn8kNCgM/edit?usp=share_link"",""อุตรดิตถ์!J372"")+IMPORTRANGE(""https://docs.google.com/spreadsheets/d/1kII0BjS6CtVrBvI8IrytgPdxDrlyQDyigz"&amp;"MsohRtDMs/edit?usp=share_link"",""อุทัยธานี!J372"")
"),79)</f>
        <v>79</v>
      </c>
      <c r="K372" s="38">
        <f t="shared" ca="1" si="192"/>
        <v>5.882352941176471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xicF4apzSqm0-jIpmueT4kyZtE-Cwn5zskl7GD4loQ/edit?usp=share_link"",""กำแพงเพชร!J373"")+IMPORTRANGE(""https://docs.google.com/spreadsheets/d/1ZNYWeiFoFA1K1U4xKWqRX29MBvEyRHXORjo734Gnq_c/edit?usp=share_li"&amp;"nk"",""เชียงราย!J373"")
+IMPORTRANGE(""https://docs.google.com/spreadsheets/d/1Jgv0Y7YlHDtsiDawwp-uvifEJ8HVaSn0k2aGHG8-hwM/edit?usp=share_link"",""เชียงใหม่!J373"")+IMPORTRANGE(""https://docs.google.com/spreadsheets/d/1JWG2rZePOz9pe-f-ObA-yDr0VoOX2kSb0qIi"&amp;"x2mTUo8/edit?usp=share_link"",""ตาก!J373"")+IMPORTRANGE(""https://docs.google.com/spreadsheets/d/10nSRjK08hx8Y6HgSOQKNw81lyY46Zc7U_Cj72hBMp9U/edit?usp=share_link"",""นครสวรรค์!J373"")+IMPORTRANGE(""https://docs.google.com/spreadsheets/d/1gFVb7qd7amutrIxAA"&amp;"oM7lcy35hllxznovot8lyOfvDo/edit?usp=share_link"",""น่าน!J373"")+IMPORTRANGE(""https://docs.google.com/spreadsheets/d/1K0Aa9s-6EuHE5M0FG1F9aHLXRCOV917xvycTdLdct0w/edit?usp=share_link"",""พะเยา!J373"")+IMPORTRANGE(""https://docs.google.com/spreadsheets/d/1Y"&amp;"9LPKx95PyL5OKy09d-KbKJSuuEZCFdkhYjwC0XQjBA/edit?usp=share_link"",""พิจิตร!J373"")+IMPORTRANGE(""https://docs.google.com/spreadsheets/d/16OMuOwy2eVqZcYWOouQtTpa8X1L23h4660uVHc0C8os/edit?usp=share_link"",""พิษณุโลก!J373"")+IMPORTRANGE(""https://docs.google."&amp;"com/spreadsheets/d/1GfgTldLG6k77HXaMQzaafODklYuucJZQNs_GAPEfZyY/edit?usp=share_link"",""เพชรบูรณ์!J373"")+IMPORTRANGE(""https://docs.google.com/spreadsheets/d/1gvTMYAnm7v1yG1BKWFtr0DnaTsq59oW9dwWvFgq6hs0/edit?usp=share_link"",""แพร่!J373"")+IMPORTRANGE("""&amp;"https://docs.google.com/spreadsheets/d/1Wbcosgy-Xa1xXUArJSOenub6EfZHUSzc_bpJFWwQUf0/edit?usp=share_link"",""แม่ฮ่องสอน!J373"")+IMPORTRANGE(""https://docs.google.com/spreadsheets/d/1p7ERhsr0qZeSn-KSOdeHS9r0heI-lHtkcn2OH7hP0jQ/edit?usp=share_link"",""ลำปาง!"&amp;"J373"")+IMPORTRANGE(""https://docs.google.com/spreadsheets/d/1-uUXvimVhiU2U0bMN-xi2te0tS4X7DI2GLPnMjzl8cA/edit?usp=share_link"",""ลำพูน!J373"")+IMPORTRANGE(""https://docs.google.com/spreadsheets/d/17HrOaa5pBUI1onckFfumXB8xlg35qb2uBAFfF1D-Myo/edit?usp=shar"&amp;"e_link"",""สุโขทัย!J373"")+IMPORTRANGE(""https://docs.google.com/spreadsheets/d/1ubs5cl16eYL9gHbdHTJtmtYb9MGzHBs7CAphn8kNCgM/edit?usp=share_link"",""อุตรดิตถ์!J373"")+IMPORTRANGE(""https://docs.google.com/spreadsheets/d/1kII0BjS6CtVrBvI8IrytgPdxDrlyQDyigz"&amp;"MsohRtDMs/edit?usp=share_link"",""อุทัยธานี!J373"")
"),889.39)</f>
        <v>889.39</v>
      </c>
      <c r="K373" s="38">
        <f t="shared" si="192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3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KxicF4apzSqm0-jIpmueT4kyZtE-Cwn5zskl7GD4loQ/edit?usp=share_link"",""กำแพงเพชร!I374"")+IMPORTRANGE(""https://docs.google.com/spreadsheets/d/1ZNYWeiFoFA1K1U4xKWqRX29MBvEyRHXORjo734Gnq_c/edit?usp=share_li"&amp;"nk"",""เชียงราย!I374"")
+IMPORTRANGE(""https://docs.google.com/spreadsheets/d/1Jgv0Y7YlHDtsiDawwp-uvifEJ8HVaSn0k2aGHG8-hwM/edit?usp=share_link"",""เชียงใหม่!I374"")+IMPORTRANGE(""https://docs.google.com/spreadsheets/d/1JWG2rZePOz9pe-f-ObA-yDr0VoOX2kSb0qIi"&amp;"x2mTUo8/edit?usp=share_link"",""ตาก!I374"")+IMPORTRANGE(""https://docs.google.com/spreadsheets/d/10nSRjK08hx8Y6HgSOQKNw81lyY46Zc7U_Cj72hBMp9U/edit?usp=share_link"",""นครสวรรค์!I374"")+IMPORTRANGE(""https://docs.google.com/spreadsheets/d/1gFVb7qd7amutrIxAA"&amp;"oM7lcy35hllxznovot8lyOfvDo/edit?usp=share_link"",""น่าน!I374"")+IMPORTRANGE(""https://docs.google.com/spreadsheets/d/1K0Aa9s-6EuHE5M0FG1F9aHLXRCOV917xvycTdLdct0w/edit?usp=share_link"",""พะเยา!I374"")+IMPORTRANGE(""https://docs.google.com/spreadsheets/d/1Y"&amp;"9LPKx95PyL5OKy09d-KbKJSuuEZCFdkhYjwC0XQjBA/edit?usp=share_link"",""พิจิตร!I374"")+IMPORTRANGE(""https://docs.google.com/spreadsheets/d/16OMuOwy2eVqZcYWOouQtTpa8X1L23h4660uVHc0C8os/edit?usp=share_link"",""พิษณุโลก!I374"")+IMPORTRANGE(""https://docs.google."&amp;"com/spreadsheets/d/1GfgTldLG6k77HXaMQzaafODklYuucJZQNs_GAPEfZyY/edit?usp=share_link"",""เพชรบูรณ์!I374"")+IMPORTRANGE(""https://docs.google.com/spreadsheets/d/1gvTMYAnm7v1yG1BKWFtr0DnaTsq59oW9dwWvFgq6hs0/edit?usp=share_link"",""แพร่!I374"")+IMPORTRANGE("""&amp;"https://docs.google.com/spreadsheets/d/1Wbcosgy-Xa1xXUArJSOenub6EfZHUSzc_bpJFWwQUf0/edit?usp=share_link"",""แม่ฮ่องสอน!I374"")+IMPORTRANGE(""https://docs.google.com/spreadsheets/d/1p7ERhsr0qZeSn-KSOdeHS9r0heI-lHtkcn2OH7hP0jQ/edit?usp=share_link"",""ลำปาง!"&amp;"I374"")+IMPORTRANGE(""https://docs.google.com/spreadsheets/d/1-uUXvimVhiU2U0bMN-xi2te0tS4X7DI2GLPnMjzl8cA/edit?usp=share_link"",""ลำพูน!I374"")+IMPORTRANGE(""https://docs.google.com/spreadsheets/d/17HrOaa5pBUI1onckFfumXB8xlg35qb2uBAFfF1D-Myo/edit?usp=shar"&amp;"e_link"",""สุโขทัย!I374"")+IMPORTRANGE(""https://docs.google.com/spreadsheets/d/1ubs5cl16eYL9gHbdHTJtmtYb9MGzHBs7CAphn8kNCgM/edit?usp=share_link"",""อุตรดิตถ์!I374"")+IMPORTRANGE(""https://docs.google.com/spreadsheets/d/1kII0BjS6CtVrBvI8IrytgPdxDrlyQDyigz"&amp;"MsohRtDMs/edit?usp=share_link"",""อุทัยธานี!I374"")
"),8095)</f>
        <v>8095</v>
      </c>
      <c r="J374" s="459">
        <f ca="1">J381</f>
        <v>2050</v>
      </c>
      <c r="K374" s="460">
        <f t="shared" ca="1" si="192"/>
        <v>25.324274243360097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3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xicF4apzSqm0-jIpmueT4kyZtE-Cwn5zskl7GD4loQ/edit?usp=share_link"",""กำแพงเพชร!J377"")+IMPORTRANGE(""https://docs.google.com/spreadsheets/d/1ZNYWeiFoFA1K1U4xKWqRX29MBvEyRHXORjo734Gnq_c/edit?usp=share_li"&amp;"nk"",""เชียงราย!J377"")
+IMPORTRANGE(""https://docs.google.com/spreadsheets/d/1Jgv0Y7YlHDtsiDawwp-uvifEJ8HVaSn0k2aGHG8-hwM/edit?usp=share_link"",""เชียงใหม่!J377"")+IMPORTRANGE(""https://docs.google.com/spreadsheets/d/1JWG2rZePOz9pe-f-ObA-yDr0VoOX2kSb0qIi"&amp;"x2mTUo8/edit?usp=share_link"",""ตาก!J377"")+IMPORTRANGE(""https://docs.google.com/spreadsheets/d/10nSRjK08hx8Y6HgSOQKNw81lyY46Zc7U_Cj72hBMp9U/edit?usp=share_link"",""นครสวรรค์!J377"")+IMPORTRANGE(""https://docs.google.com/spreadsheets/d/1gFVb7qd7amutrIxAA"&amp;"oM7lcy35hllxznovot8lyOfvDo/edit?usp=share_link"",""น่าน!J377"")+IMPORTRANGE(""https://docs.google.com/spreadsheets/d/1K0Aa9s-6EuHE5M0FG1F9aHLXRCOV917xvycTdLdct0w/edit?usp=share_link"",""พะเยา!J377"")+IMPORTRANGE(""https://docs.google.com/spreadsheets/d/1Y"&amp;"9LPKx95PyL5OKy09d-KbKJSuuEZCFdkhYjwC0XQjBA/edit?usp=share_link"",""พิจิตร!J377"")+IMPORTRANGE(""https://docs.google.com/spreadsheets/d/16OMuOwy2eVqZcYWOouQtTpa8X1L23h4660uVHc0C8os/edit?usp=share_link"",""พิษณุโลก!J377"")+IMPORTRANGE(""https://docs.google."&amp;"com/spreadsheets/d/1GfgTldLG6k77HXaMQzaafODklYuucJZQNs_GAPEfZyY/edit?usp=share_link"",""เพชรบูรณ์!J377"")+IMPORTRANGE(""https://docs.google.com/spreadsheets/d/1gvTMYAnm7v1yG1BKWFtr0DnaTsq59oW9dwWvFgq6hs0/edit?usp=share_link"",""แพร่!J377"")+IMPORTRANGE("""&amp;"https://docs.google.com/spreadsheets/d/1Wbcosgy-Xa1xXUArJSOenub6EfZHUSzc_bpJFWwQUf0/edit?usp=share_link"",""แม่ฮ่องสอน!J377"")+IMPORTRANGE(""https://docs.google.com/spreadsheets/d/1p7ERhsr0qZeSn-KSOdeHS9r0heI-lHtkcn2OH7hP0jQ/edit?usp=share_link"",""ลำปาง!"&amp;"J377"")+IMPORTRANGE(""https://docs.google.com/spreadsheets/d/1-uUXvimVhiU2U0bMN-xi2te0tS4X7DI2GLPnMjzl8cA/edit?usp=share_link"",""ลำพูน!J377"")+IMPORTRANGE(""https://docs.google.com/spreadsheets/d/17HrOaa5pBUI1onckFfumXB8xlg35qb2uBAFfF1D-Myo/edit?usp=shar"&amp;"e_link"",""สุโขทัย!J377"")+IMPORTRANGE(""https://docs.google.com/spreadsheets/d/1ubs5cl16eYL9gHbdHTJtmtYb9MGzHBs7CAphn8kNCgM/edit?usp=share_link"",""อุตรดิตถ์!J377"")+IMPORTRANGE(""https://docs.google.com/spreadsheets/d/1kII0BjS6CtVrBvI8IrytgPdxDrlyQDyigz"&amp;"MsohRtDMs/edit?usp=share_link"",""อุทัยธานี!J377"")
"),826)</f>
        <v>826</v>
      </c>
      <c r="K377" s="466">
        <f t="shared" ref="K377:K382" si="19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xicF4apzSqm0-jIpmueT4kyZtE-Cwn5zskl7GD4loQ/edit?usp=share_link"",""กำแพงเพชร!I378"")+IMPORTRANGE(""https://docs.google.com/spreadsheets/d/1ZNYWeiFoFA1K1U4xKWqRX29MBvEyRHXORjo734Gnq_c/edit?usp=share_li"&amp;"nk"",""เชียงราย!I378"")
+IMPORTRANGE(""https://docs.google.com/spreadsheets/d/1Jgv0Y7YlHDtsiDawwp-uvifEJ8HVaSn0k2aGHG8-hwM/edit?usp=share_link"",""เชียงใหม่!I378"")+IMPORTRANGE(""https://docs.google.com/spreadsheets/d/1JWG2rZePOz9pe-f-ObA-yDr0VoOX2kSb0qIi"&amp;"x2mTUo8/edit?usp=share_link"",""ตาก!I378"")+IMPORTRANGE(""https://docs.google.com/spreadsheets/d/10nSRjK08hx8Y6HgSOQKNw81lyY46Zc7U_Cj72hBMp9U/edit?usp=share_link"",""นครสวรรค์!I378"")+IMPORTRANGE(""https://docs.google.com/spreadsheets/d/1gFVb7qd7amutrIxAA"&amp;"oM7lcy35hllxznovot8lyOfvDo/edit?usp=share_link"",""น่าน!I378"")+IMPORTRANGE(""https://docs.google.com/spreadsheets/d/1K0Aa9s-6EuHE5M0FG1F9aHLXRCOV917xvycTdLdct0w/edit?usp=share_link"",""พะเยา!I378"")+IMPORTRANGE(""https://docs.google.com/spreadsheets/d/1Y"&amp;"9LPKx95PyL5OKy09d-KbKJSuuEZCFdkhYjwC0XQjBA/edit?usp=share_link"",""พิจิตร!I378"")+IMPORTRANGE(""https://docs.google.com/spreadsheets/d/16OMuOwy2eVqZcYWOouQtTpa8X1L23h4660uVHc0C8os/edit?usp=share_link"",""พิษณุโลก!I378"")+IMPORTRANGE(""https://docs.google."&amp;"com/spreadsheets/d/1GfgTldLG6k77HXaMQzaafODklYuucJZQNs_GAPEfZyY/edit?usp=share_link"",""เพชรบูรณ์!I378"")+IMPORTRANGE(""https://docs.google.com/spreadsheets/d/1gvTMYAnm7v1yG1BKWFtr0DnaTsq59oW9dwWvFgq6hs0/edit?usp=share_link"",""แพร่!I378"")+IMPORTRANGE("""&amp;"https://docs.google.com/spreadsheets/d/1Wbcosgy-Xa1xXUArJSOenub6EfZHUSzc_bpJFWwQUf0/edit?usp=share_link"",""แม่ฮ่องสอน!I378"")+IMPORTRANGE(""https://docs.google.com/spreadsheets/d/1p7ERhsr0qZeSn-KSOdeHS9r0heI-lHtkcn2OH7hP0jQ/edit?usp=share_link"",""ลำปาง!"&amp;"I378"")+IMPORTRANGE(""https://docs.google.com/spreadsheets/d/1-uUXvimVhiU2U0bMN-xi2te0tS4X7DI2GLPnMjzl8cA/edit?usp=share_link"",""ลำพูน!I378"")+IMPORTRANGE(""https://docs.google.com/spreadsheets/d/17HrOaa5pBUI1onckFfumXB8xlg35qb2uBAFfF1D-Myo/edit?usp=shar"&amp;"e_link"",""สุโขทัย!I378"")+IMPORTRANGE(""https://docs.google.com/spreadsheets/d/1ubs5cl16eYL9gHbdHTJtmtYb9MGzHBs7CAphn8kNCgM/edit?usp=share_link"",""อุตรดิตถ์!I378"")+IMPORTRANGE(""https://docs.google.com/spreadsheets/d/1kII0BjS6CtVrBvI8IrytgPdxDrlyQDyigz"&amp;"MsohRtDMs/edit?usp=share_link"",""อุทัยธานี!I378"")
"),22260)</f>
        <v>22260</v>
      </c>
      <c r="J378" s="270">
        <f ca="1">IFERROR(__xludf.DUMMYFUNCTION("IMPORTRANGE(""https://docs.google.com/spreadsheets/d/1KxicF4apzSqm0-jIpmueT4kyZtE-Cwn5zskl7GD4loQ/edit?usp=share_link"",""กำแพงเพชร!J378"")+IMPORTRANGE(""https://docs.google.com/spreadsheets/d/1ZNYWeiFoFA1K1U4xKWqRX29MBvEyRHXORjo734Gnq_c/edit?usp=share_li"&amp;"nk"",""เชียงราย!J378"")
+IMPORTRANGE(""https://docs.google.com/spreadsheets/d/1Jgv0Y7YlHDtsiDawwp-uvifEJ8HVaSn0k2aGHG8-hwM/edit?usp=share_link"",""เชียงใหม่!J378"")+IMPORTRANGE(""https://docs.google.com/spreadsheets/d/1JWG2rZePOz9pe-f-ObA-yDr0VoOX2kSb0qIi"&amp;"x2mTUo8/edit?usp=share_link"",""ตาก!J378"")+IMPORTRANGE(""https://docs.google.com/spreadsheets/d/10nSRjK08hx8Y6HgSOQKNw81lyY46Zc7U_Cj72hBMp9U/edit?usp=share_link"",""นครสวรรค์!J378"")+IMPORTRANGE(""https://docs.google.com/spreadsheets/d/1gFVb7qd7amutrIxAA"&amp;"oM7lcy35hllxznovot8lyOfvDo/edit?usp=share_link"",""น่าน!J378"")+IMPORTRANGE(""https://docs.google.com/spreadsheets/d/1K0Aa9s-6EuHE5M0FG1F9aHLXRCOV917xvycTdLdct0w/edit?usp=share_link"",""พะเยา!J378"")+IMPORTRANGE(""https://docs.google.com/spreadsheets/d/1Y"&amp;"9LPKx95PyL5OKy09d-KbKJSuuEZCFdkhYjwC0XQjBA/edit?usp=share_link"",""พิจิตร!J378"")+IMPORTRANGE(""https://docs.google.com/spreadsheets/d/16OMuOwy2eVqZcYWOouQtTpa8X1L23h4660uVHc0C8os/edit?usp=share_link"",""พิษณุโลก!J378"")+IMPORTRANGE(""https://docs.google."&amp;"com/spreadsheets/d/1GfgTldLG6k77HXaMQzaafODklYuucJZQNs_GAPEfZyY/edit?usp=share_link"",""เพชรบูรณ์!J378"")+IMPORTRANGE(""https://docs.google.com/spreadsheets/d/1gvTMYAnm7v1yG1BKWFtr0DnaTsq59oW9dwWvFgq6hs0/edit?usp=share_link"",""แพร่!J378"")+IMPORTRANGE("""&amp;"https://docs.google.com/spreadsheets/d/1Wbcosgy-Xa1xXUArJSOenub6EfZHUSzc_bpJFWwQUf0/edit?usp=share_link"",""แม่ฮ่องสอน!J378"")+IMPORTRANGE(""https://docs.google.com/spreadsheets/d/1p7ERhsr0qZeSn-KSOdeHS9r0heI-lHtkcn2OH7hP0jQ/edit?usp=share_link"",""ลำปาง!"&amp;"J378"")+IMPORTRANGE(""https://docs.google.com/spreadsheets/d/1-uUXvimVhiU2U0bMN-xi2te0tS4X7DI2GLPnMjzl8cA/edit?usp=share_link"",""ลำพูน!J378"")+IMPORTRANGE(""https://docs.google.com/spreadsheets/d/17HrOaa5pBUI1onckFfumXB8xlg35qb2uBAFfF1D-Myo/edit?usp=shar"&amp;"e_link"",""สุโขทัย!J378"")+IMPORTRANGE(""https://docs.google.com/spreadsheets/d/1ubs5cl16eYL9gHbdHTJtmtYb9MGzHBs7CAphn8kNCgM/edit?usp=share_link"",""อุตรดิตถ์!J378"")+IMPORTRANGE(""https://docs.google.com/spreadsheets/d/1kII0BjS6CtVrBvI8IrytgPdxDrlyQDyigz"&amp;"MsohRtDMs/edit?usp=share_link"",""อุทัยธานี!J378"")
"),6069.19)</f>
        <v>6069.19</v>
      </c>
      <c r="K378" s="466">
        <f t="shared" ca="1" si="193"/>
        <v>27.265004492362984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xicF4apzSqm0-jIpmueT4kyZtE-Cwn5zskl7GD4loQ/edit?usp=share_link"",""กำแพงเพชร!I379"")+IMPORTRANGE(""https://docs.google.com/spreadsheets/d/1ZNYWeiFoFA1K1U4xKWqRX29MBvEyRHXORjo734Gnq_c/edit?usp=share_li"&amp;"nk"",""เชียงราย!I379"")
+IMPORTRANGE(""https://docs.google.com/spreadsheets/d/1Jgv0Y7YlHDtsiDawwp-uvifEJ8HVaSn0k2aGHG8-hwM/edit?usp=share_link"",""เชียงใหม่!I379"")+IMPORTRANGE(""https://docs.google.com/spreadsheets/d/1JWG2rZePOz9pe-f-ObA-yDr0VoOX2kSb0qIi"&amp;"x2mTUo8/edit?usp=share_link"",""ตาก!I379"")+IMPORTRANGE(""https://docs.google.com/spreadsheets/d/10nSRjK08hx8Y6HgSOQKNw81lyY46Zc7U_Cj72hBMp9U/edit?usp=share_link"",""นครสวรรค์!I379"")+IMPORTRANGE(""https://docs.google.com/spreadsheets/d/1gFVb7qd7amutrIxAA"&amp;"oM7lcy35hllxznovot8lyOfvDo/edit?usp=share_link"",""น่าน!I379"")+IMPORTRANGE(""https://docs.google.com/spreadsheets/d/1K0Aa9s-6EuHE5M0FG1F9aHLXRCOV917xvycTdLdct0w/edit?usp=share_link"",""พะเยา!I379"")+IMPORTRANGE(""https://docs.google.com/spreadsheets/d/1Y"&amp;"9LPKx95PyL5OKy09d-KbKJSuuEZCFdkhYjwC0XQjBA/edit?usp=share_link"",""พิจิตร!I379"")+IMPORTRANGE(""https://docs.google.com/spreadsheets/d/16OMuOwy2eVqZcYWOouQtTpa8X1L23h4660uVHc0C8os/edit?usp=share_link"",""พิษณุโลก!I379"")+IMPORTRANGE(""https://docs.google."&amp;"com/spreadsheets/d/1GfgTldLG6k77HXaMQzaafODklYuucJZQNs_GAPEfZyY/edit?usp=share_link"",""เพชรบูรณ์!I379"")+IMPORTRANGE(""https://docs.google.com/spreadsheets/d/1gvTMYAnm7v1yG1BKWFtr0DnaTsq59oW9dwWvFgq6hs0/edit?usp=share_link"",""แพร่!I379"")+IMPORTRANGE("""&amp;"https://docs.google.com/spreadsheets/d/1Wbcosgy-Xa1xXUArJSOenub6EfZHUSzc_bpJFWwQUf0/edit?usp=share_link"",""แม่ฮ่องสอน!I379"")+IMPORTRANGE(""https://docs.google.com/spreadsheets/d/1p7ERhsr0qZeSn-KSOdeHS9r0heI-lHtkcn2OH7hP0jQ/edit?usp=share_link"",""ลำปาง!"&amp;"I379"")+IMPORTRANGE(""https://docs.google.com/spreadsheets/d/1-uUXvimVhiU2U0bMN-xi2te0tS4X7DI2GLPnMjzl8cA/edit?usp=share_link"",""ลำพูน!I379"")+IMPORTRANGE(""https://docs.google.com/spreadsheets/d/17HrOaa5pBUI1onckFfumXB8xlg35qb2uBAFfF1D-Myo/edit?usp=shar"&amp;"e_link"",""สุโขทัย!I379"")+IMPORTRANGE(""https://docs.google.com/spreadsheets/d/1ubs5cl16eYL9gHbdHTJtmtYb9MGzHBs7CAphn8kNCgM/edit?usp=share_link"",""อุตรดิตถ์!I379"")+IMPORTRANGE(""https://docs.google.com/spreadsheets/d/1kII0BjS6CtVrBvI8IrytgPdxDrlyQDyigz"&amp;"MsohRtDMs/edit?usp=share_link"",""อุทัยธานี!I379"")
"),8095)</f>
        <v>8095</v>
      </c>
      <c r="J379" s="270">
        <f ca="1">IFERROR(__xludf.DUMMYFUNCTION("IMPORTRANGE(""https://docs.google.com/spreadsheets/d/1KxicF4apzSqm0-jIpmueT4kyZtE-Cwn5zskl7GD4loQ/edit?usp=share_link"",""กำแพงเพชร!J379"")+IMPORTRANGE(""https://docs.google.com/spreadsheets/d/1ZNYWeiFoFA1K1U4xKWqRX29MBvEyRHXORjo734Gnq_c/edit?usp=share_li"&amp;"nk"",""เชียงราย!J379"")
+IMPORTRANGE(""https://docs.google.com/spreadsheets/d/1Jgv0Y7YlHDtsiDawwp-uvifEJ8HVaSn0k2aGHG8-hwM/edit?usp=share_link"",""เชียงใหม่!J379"")+IMPORTRANGE(""https://docs.google.com/spreadsheets/d/1JWG2rZePOz9pe-f-ObA-yDr0VoOX2kSb0qIi"&amp;"x2mTUo8/edit?usp=share_link"",""ตาก!J379"")+IMPORTRANGE(""https://docs.google.com/spreadsheets/d/10nSRjK08hx8Y6HgSOQKNw81lyY46Zc7U_Cj72hBMp9U/edit?usp=share_link"",""นครสวรรค์!J379"")+IMPORTRANGE(""https://docs.google.com/spreadsheets/d/1gFVb7qd7amutrIxAA"&amp;"oM7lcy35hllxznovot8lyOfvDo/edit?usp=share_link"",""น่าน!J379"")+IMPORTRANGE(""https://docs.google.com/spreadsheets/d/1K0Aa9s-6EuHE5M0FG1F9aHLXRCOV917xvycTdLdct0w/edit?usp=share_link"",""พะเยา!J379"")+IMPORTRANGE(""https://docs.google.com/spreadsheets/d/1Y"&amp;"9LPKx95PyL5OKy09d-KbKJSuuEZCFdkhYjwC0XQjBA/edit?usp=share_link"",""พิจิตร!J379"")+IMPORTRANGE(""https://docs.google.com/spreadsheets/d/16OMuOwy2eVqZcYWOouQtTpa8X1L23h4660uVHc0C8os/edit?usp=share_link"",""พิษณุโลก!J379"")+IMPORTRANGE(""https://docs.google."&amp;"com/spreadsheets/d/1GfgTldLG6k77HXaMQzaafODklYuucJZQNs_GAPEfZyY/edit?usp=share_link"",""เพชรบูรณ์!J379"")+IMPORTRANGE(""https://docs.google.com/spreadsheets/d/1gvTMYAnm7v1yG1BKWFtr0DnaTsq59oW9dwWvFgq6hs0/edit?usp=share_link"",""แพร่!J379"")+IMPORTRANGE("""&amp;"https://docs.google.com/spreadsheets/d/1Wbcosgy-Xa1xXUArJSOenub6EfZHUSzc_bpJFWwQUf0/edit?usp=share_link"",""แม่ฮ่องสอน!J379"")+IMPORTRANGE(""https://docs.google.com/spreadsheets/d/1p7ERhsr0qZeSn-KSOdeHS9r0heI-lHtkcn2OH7hP0jQ/edit?usp=share_link"",""ลำปาง!"&amp;"J379"")+IMPORTRANGE(""https://docs.google.com/spreadsheets/d/1-uUXvimVhiU2U0bMN-xi2te0tS4X7DI2GLPnMjzl8cA/edit?usp=share_link"",""ลำพูน!J379"")+IMPORTRANGE(""https://docs.google.com/spreadsheets/d/17HrOaa5pBUI1onckFfumXB8xlg35qb2uBAFfF1D-Myo/edit?usp=shar"&amp;"e_link"",""สุโขทัย!J379"")+IMPORTRANGE(""https://docs.google.com/spreadsheets/d/1ubs5cl16eYL9gHbdHTJtmtYb9MGzHBs7CAphn8kNCgM/edit?usp=share_link"",""อุตรดิตถ์!J379"")+IMPORTRANGE(""https://docs.google.com/spreadsheets/d/1kII0BjS6CtVrBvI8IrytgPdxDrlyQDyigz"&amp;"MsohRtDMs/edit?usp=share_link"",""อุทัยธานี!J379"")
"),2269)</f>
        <v>2269</v>
      </c>
      <c r="K379" s="466">
        <f t="shared" ca="1" si="193"/>
        <v>28.029647930821493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xicF4apzSqm0-jIpmueT4kyZtE-Cwn5zskl7GD4loQ/edit?usp=share_link"",""กำแพงเพชร!J380"")+IMPORTRANGE(""https://docs.google.com/spreadsheets/d/1ZNYWeiFoFA1K1U4xKWqRX29MBvEyRHXORjo734Gnq_c/edit?usp=share_li"&amp;"nk"",""เชียงราย!J380"")
+IMPORTRANGE(""https://docs.google.com/spreadsheets/d/1Jgv0Y7YlHDtsiDawwp-uvifEJ8HVaSn0k2aGHG8-hwM/edit?usp=share_link"",""เชียงใหม่!J380"")+IMPORTRANGE(""https://docs.google.com/spreadsheets/d/1JWG2rZePOz9pe-f-ObA-yDr0VoOX2kSb0qIi"&amp;"x2mTUo8/edit?usp=share_link"",""ตาก!J380"")+IMPORTRANGE(""https://docs.google.com/spreadsheets/d/10nSRjK08hx8Y6HgSOQKNw81lyY46Zc7U_Cj72hBMp9U/edit?usp=share_link"",""นครสวรรค์!J380"")+IMPORTRANGE(""https://docs.google.com/spreadsheets/d/1gFVb7qd7amutrIxAA"&amp;"oM7lcy35hllxznovot8lyOfvDo/edit?usp=share_link"",""น่าน!J380"")+IMPORTRANGE(""https://docs.google.com/spreadsheets/d/1K0Aa9s-6EuHE5M0FG1F9aHLXRCOV917xvycTdLdct0w/edit?usp=share_link"",""พะเยา!J380"")+IMPORTRANGE(""https://docs.google.com/spreadsheets/d/1Y"&amp;"9LPKx95PyL5OKy09d-KbKJSuuEZCFdkhYjwC0XQjBA/edit?usp=share_link"",""พิจิตร!J380"")+IMPORTRANGE(""https://docs.google.com/spreadsheets/d/16OMuOwy2eVqZcYWOouQtTpa8X1L23h4660uVHc0C8os/edit?usp=share_link"",""พิษณุโลก!J380"")+IMPORTRANGE(""https://docs.google."&amp;"com/spreadsheets/d/1GfgTldLG6k77HXaMQzaafODklYuucJZQNs_GAPEfZyY/edit?usp=share_link"",""เพชรบูรณ์!J380"")+IMPORTRANGE(""https://docs.google.com/spreadsheets/d/1gvTMYAnm7v1yG1BKWFtr0DnaTsq59oW9dwWvFgq6hs0/edit?usp=share_link"",""แพร่!J380"")+IMPORTRANGE("""&amp;"https://docs.google.com/spreadsheets/d/1Wbcosgy-Xa1xXUArJSOenub6EfZHUSzc_bpJFWwQUf0/edit?usp=share_link"",""แม่ฮ่องสอน!J380"")+IMPORTRANGE(""https://docs.google.com/spreadsheets/d/1p7ERhsr0qZeSn-KSOdeHS9r0heI-lHtkcn2OH7hP0jQ/edit?usp=share_link"",""ลำปาง!"&amp;"J380"")+IMPORTRANGE(""https://docs.google.com/spreadsheets/d/1-uUXvimVhiU2U0bMN-xi2te0tS4X7DI2GLPnMjzl8cA/edit?usp=share_link"",""ลำพูน!J380"")+IMPORTRANGE(""https://docs.google.com/spreadsheets/d/17HrOaa5pBUI1onckFfumXB8xlg35qb2uBAFfF1D-Myo/edit?usp=shar"&amp;"e_link"",""สุโขทัย!J380"")+IMPORTRANGE(""https://docs.google.com/spreadsheets/d/1ubs5cl16eYL9gHbdHTJtmtYb9MGzHBs7CAphn8kNCgM/edit?usp=share_link"",""อุตรดิตถ์!J380"")+IMPORTRANGE(""https://docs.google.com/spreadsheets/d/1kII0BjS6CtVrBvI8IrytgPdxDrlyQDyigz"&amp;"MsohRtDMs/edit?usp=share_link"",""อุทัยธานี!J380"")
"),25654.59)</f>
        <v>25654.59</v>
      </c>
      <c r="K380" s="466">
        <f t="shared" si="19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xicF4apzSqm0-jIpmueT4kyZtE-Cwn5zskl7GD4loQ/edit?usp=share_link"",""กำแพงเพชร!I381"")+IMPORTRANGE(""https://docs.google.com/spreadsheets/d/1ZNYWeiFoFA1K1U4xKWqRX29MBvEyRHXORjo734Gnq_c/edit?usp=share_li"&amp;"nk"",""เชียงราย!I381"")
+IMPORTRANGE(""https://docs.google.com/spreadsheets/d/1Jgv0Y7YlHDtsiDawwp-uvifEJ8HVaSn0k2aGHG8-hwM/edit?usp=share_link"",""เชียงใหม่!I381"")+IMPORTRANGE(""https://docs.google.com/spreadsheets/d/1JWG2rZePOz9pe-f-ObA-yDr0VoOX2kSb0qIi"&amp;"x2mTUo8/edit?usp=share_link"",""ตาก!I381"")+IMPORTRANGE(""https://docs.google.com/spreadsheets/d/10nSRjK08hx8Y6HgSOQKNw81lyY46Zc7U_Cj72hBMp9U/edit?usp=share_link"",""นครสวรรค์!I381"")+IMPORTRANGE(""https://docs.google.com/spreadsheets/d/1gFVb7qd7amutrIxAA"&amp;"oM7lcy35hllxznovot8lyOfvDo/edit?usp=share_link"",""น่าน!I381"")+IMPORTRANGE(""https://docs.google.com/spreadsheets/d/1K0Aa9s-6EuHE5M0FG1F9aHLXRCOV917xvycTdLdct0w/edit?usp=share_link"",""พะเยา!I381"")+IMPORTRANGE(""https://docs.google.com/spreadsheets/d/1Y"&amp;"9LPKx95PyL5OKy09d-KbKJSuuEZCFdkhYjwC0XQjBA/edit?usp=share_link"",""พิจิตร!I381"")+IMPORTRANGE(""https://docs.google.com/spreadsheets/d/16OMuOwy2eVqZcYWOouQtTpa8X1L23h4660uVHc0C8os/edit?usp=share_link"",""พิษณุโลก!I381"")+IMPORTRANGE(""https://docs.google."&amp;"com/spreadsheets/d/1GfgTldLG6k77HXaMQzaafODklYuucJZQNs_GAPEfZyY/edit?usp=share_link"",""เพชรบูรณ์!I381"")+IMPORTRANGE(""https://docs.google.com/spreadsheets/d/1gvTMYAnm7v1yG1BKWFtr0DnaTsq59oW9dwWvFgq6hs0/edit?usp=share_link"",""แพร่!I381"")+IMPORTRANGE("""&amp;"https://docs.google.com/spreadsheets/d/1Wbcosgy-Xa1xXUArJSOenub6EfZHUSzc_bpJFWwQUf0/edit?usp=share_link"",""แม่ฮ่องสอน!I381"")+IMPORTRANGE(""https://docs.google.com/spreadsheets/d/1p7ERhsr0qZeSn-KSOdeHS9r0heI-lHtkcn2OH7hP0jQ/edit?usp=share_link"",""ลำปาง!"&amp;"I381"")+IMPORTRANGE(""https://docs.google.com/spreadsheets/d/1-uUXvimVhiU2U0bMN-xi2te0tS4X7DI2GLPnMjzl8cA/edit?usp=share_link"",""ลำพูน!I381"")+IMPORTRANGE(""https://docs.google.com/spreadsheets/d/17HrOaa5pBUI1onckFfumXB8xlg35qb2uBAFfF1D-Myo/edit?usp=shar"&amp;"e_link"",""สุโขทัย!I381"")+IMPORTRANGE(""https://docs.google.com/spreadsheets/d/1ubs5cl16eYL9gHbdHTJtmtYb9MGzHBs7CAphn8kNCgM/edit?usp=share_link"",""อุตรดิตถ์!I381"")+IMPORTRANGE(""https://docs.google.com/spreadsheets/d/1kII0BjS6CtVrBvI8IrytgPdxDrlyQDyigz"&amp;"MsohRtDMs/edit?usp=share_link"",""อุทัยธานี!I381"")
"),8095)</f>
        <v>8095</v>
      </c>
      <c r="J381" s="270">
        <f ca="1">IFERROR(__xludf.DUMMYFUNCTION("IMPORTRANGE(""https://docs.google.com/spreadsheets/d/1KxicF4apzSqm0-jIpmueT4kyZtE-Cwn5zskl7GD4loQ/edit?usp=share_link"",""กำแพงเพชร!J381"")+IMPORTRANGE(""https://docs.google.com/spreadsheets/d/1ZNYWeiFoFA1K1U4xKWqRX29MBvEyRHXORjo734Gnq_c/edit?usp=share_li"&amp;"nk"",""เชียงราย!J381"")
+IMPORTRANGE(""https://docs.google.com/spreadsheets/d/1Jgv0Y7YlHDtsiDawwp-uvifEJ8HVaSn0k2aGHG8-hwM/edit?usp=share_link"",""เชียงใหม่!J381"")+IMPORTRANGE(""https://docs.google.com/spreadsheets/d/1JWG2rZePOz9pe-f-ObA-yDr0VoOX2kSb0qIi"&amp;"x2mTUo8/edit?usp=share_link"",""ตาก!J381"")+IMPORTRANGE(""https://docs.google.com/spreadsheets/d/10nSRjK08hx8Y6HgSOQKNw81lyY46Zc7U_Cj72hBMp9U/edit?usp=share_link"",""นครสวรรค์!J381"")+IMPORTRANGE(""https://docs.google.com/spreadsheets/d/1gFVb7qd7amutrIxAA"&amp;"oM7lcy35hllxznovot8lyOfvDo/edit?usp=share_link"",""น่าน!J381"")+IMPORTRANGE(""https://docs.google.com/spreadsheets/d/1K0Aa9s-6EuHE5M0FG1F9aHLXRCOV917xvycTdLdct0w/edit?usp=share_link"",""พะเยา!J381"")+IMPORTRANGE(""https://docs.google.com/spreadsheets/d/1Y"&amp;"9LPKx95PyL5OKy09d-KbKJSuuEZCFdkhYjwC0XQjBA/edit?usp=share_link"",""พิจิตร!J381"")+IMPORTRANGE(""https://docs.google.com/spreadsheets/d/16OMuOwy2eVqZcYWOouQtTpa8X1L23h4660uVHc0C8os/edit?usp=share_link"",""พิษณุโลก!J381"")+IMPORTRANGE(""https://docs.google."&amp;"com/spreadsheets/d/1GfgTldLG6k77HXaMQzaafODklYuucJZQNs_GAPEfZyY/edit?usp=share_link"",""เพชรบูรณ์!J381"")+IMPORTRANGE(""https://docs.google.com/spreadsheets/d/1gvTMYAnm7v1yG1BKWFtr0DnaTsq59oW9dwWvFgq6hs0/edit?usp=share_link"",""แพร่!J381"")+IMPORTRANGE("""&amp;"https://docs.google.com/spreadsheets/d/1Wbcosgy-Xa1xXUArJSOenub6EfZHUSzc_bpJFWwQUf0/edit?usp=share_link"",""แม่ฮ่องสอน!J381"")+IMPORTRANGE(""https://docs.google.com/spreadsheets/d/1p7ERhsr0qZeSn-KSOdeHS9r0heI-lHtkcn2OH7hP0jQ/edit?usp=share_link"",""ลำปาง!"&amp;"J381"")+IMPORTRANGE(""https://docs.google.com/spreadsheets/d/1-uUXvimVhiU2U0bMN-xi2te0tS4X7DI2GLPnMjzl8cA/edit?usp=share_link"",""ลำพูน!J381"")+IMPORTRANGE(""https://docs.google.com/spreadsheets/d/17HrOaa5pBUI1onckFfumXB8xlg35qb2uBAFfF1D-Myo/edit?usp=shar"&amp;"e_link"",""สุโขทัย!J381"")+IMPORTRANGE(""https://docs.google.com/spreadsheets/d/1ubs5cl16eYL9gHbdHTJtmtYb9MGzHBs7CAphn8kNCgM/edit?usp=share_link"",""อุตรดิตถ์!J381"")+IMPORTRANGE(""https://docs.google.com/spreadsheets/d/1kII0BjS6CtVrBvI8IrytgPdxDrlyQDyigz"&amp;"MsohRtDMs/edit?usp=share_link"",""อุทัยธานี!J381"")
"),2050)</f>
        <v>2050</v>
      </c>
      <c r="K381" s="466">
        <f t="shared" ca="1" si="193"/>
        <v>25.324274243360097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xicF4apzSqm0-jIpmueT4kyZtE-Cwn5zskl7GD4loQ/edit?usp=share_link"",""กำแพงเพชร!J382"")+IMPORTRANGE(""https://docs.google.com/spreadsheets/d/1ZNYWeiFoFA1K1U4xKWqRX29MBvEyRHXORjo734Gnq_c/edit?usp=share_li"&amp;"nk"",""เชียงราย!J382"")
+IMPORTRANGE(""https://docs.google.com/spreadsheets/d/1Jgv0Y7YlHDtsiDawwp-uvifEJ8HVaSn0k2aGHG8-hwM/edit?usp=share_link"",""เชียงใหม่!J382"")+IMPORTRANGE(""https://docs.google.com/spreadsheets/d/1JWG2rZePOz9pe-f-ObA-yDr0VoOX2kSb0qIi"&amp;"x2mTUo8/edit?usp=share_link"",""ตาก!J382"")+IMPORTRANGE(""https://docs.google.com/spreadsheets/d/10nSRjK08hx8Y6HgSOQKNw81lyY46Zc7U_Cj72hBMp9U/edit?usp=share_link"",""นครสวรรค์!J382"")+IMPORTRANGE(""https://docs.google.com/spreadsheets/d/1gFVb7qd7amutrIxAA"&amp;"oM7lcy35hllxznovot8lyOfvDo/edit?usp=share_link"",""น่าน!J382"")+IMPORTRANGE(""https://docs.google.com/spreadsheets/d/1K0Aa9s-6EuHE5M0FG1F9aHLXRCOV917xvycTdLdct0w/edit?usp=share_link"",""พะเยา!J382"")+IMPORTRANGE(""https://docs.google.com/spreadsheets/d/1Y"&amp;"9LPKx95PyL5OKy09d-KbKJSuuEZCFdkhYjwC0XQjBA/edit?usp=share_link"",""พิจิตร!J382"")+IMPORTRANGE(""https://docs.google.com/spreadsheets/d/16OMuOwy2eVqZcYWOouQtTpa8X1L23h4660uVHc0C8os/edit?usp=share_link"",""พิษณุโลก!J382"")+IMPORTRANGE(""https://docs.google."&amp;"com/spreadsheets/d/1GfgTldLG6k77HXaMQzaafODklYuucJZQNs_GAPEfZyY/edit?usp=share_link"",""เพชรบูรณ์!J382"")+IMPORTRANGE(""https://docs.google.com/spreadsheets/d/1gvTMYAnm7v1yG1BKWFtr0DnaTsq59oW9dwWvFgq6hs0/edit?usp=share_link"",""แพร่!J382"")+IMPORTRANGE("""&amp;"https://docs.google.com/spreadsheets/d/1Wbcosgy-Xa1xXUArJSOenub6EfZHUSzc_bpJFWwQUf0/edit?usp=share_link"",""แม่ฮ่องสอน!J382"")+IMPORTRANGE(""https://docs.google.com/spreadsheets/d/1p7ERhsr0qZeSn-KSOdeHS9r0heI-lHtkcn2OH7hP0jQ/edit?usp=share_link"",""ลำปาง!"&amp;"J382"")+IMPORTRANGE(""https://docs.google.com/spreadsheets/d/1-uUXvimVhiU2U0bMN-xi2te0tS4X7DI2GLPnMjzl8cA/edit?usp=share_link"",""ลำพูน!J382"")+IMPORTRANGE(""https://docs.google.com/spreadsheets/d/17HrOaa5pBUI1onckFfumXB8xlg35qb2uBAFfF1D-Myo/edit?usp=shar"&amp;"e_link"",""สุโขทัย!J382"")+IMPORTRANGE(""https://docs.google.com/spreadsheets/d/1ubs5cl16eYL9gHbdHTJtmtYb9MGzHBs7CAphn8kNCgM/edit?usp=share_link"",""อุตรดิตถ์!J382"")+IMPORTRANGE(""https://docs.google.com/spreadsheets/d/1kII0BjS6CtVrBvI8IrytgPdxDrlyQDyigz"&amp;"MsohRtDMs/edit?usp=share_link"",""อุทัยธานี!J382"")
"),24032.83)</f>
        <v>24032.83</v>
      </c>
      <c r="K382" s="466">
        <f t="shared" si="19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423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KxicF4apzSqm0-jIpmueT4kyZtE-Cwn5zskl7GD4loQ/edit?usp=share_link"",""กำแพงเพชร!I385"")+IMPORTRANGE(""https://docs.google.com/spreadsheets/d/1ZNYWeiFoFA1K1U4xKWqRX29MBvEyRHXORjo734Gnq_c/edit?usp=share_li"&amp;"nk"",""เชียงราย!I385"")
+IMPORTRANGE(""https://docs.google.com/spreadsheets/d/1Jgv0Y7YlHDtsiDawwp-uvifEJ8HVaSn0k2aGHG8-hwM/edit?usp=share_link"",""เชียงใหม่!I385"")+IMPORTRANGE(""https://docs.google.com/spreadsheets/d/1JWG2rZePOz9pe-f-ObA-yDr0VoOX2kSb0qIi"&amp;"x2mTUo8/edit?usp=share_link"",""ตาก!I385"")+IMPORTRANGE(""https://docs.google.com/spreadsheets/d/10nSRjK08hx8Y6HgSOQKNw81lyY46Zc7U_Cj72hBMp9U/edit?usp=share_link"",""นครสวรรค์!I385"")+IMPORTRANGE(""https://docs.google.com/spreadsheets/d/1gFVb7qd7amutrIxAA"&amp;"oM7lcy35hllxznovot8lyOfvDo/edit?usp=share_link"",""น่าน!I385"")+IMPORTRANGE(""https://docs.google.com/spreadsheets/d/1K0Aa9s-6EuHE5M0FG1F9aHLXRCOV917xvycTdLdct0w/edit?usp=share_link"",""พะเยา!I385"")+IMPORTRANGE(""https://docs.google.com/spreadsheets/d/1Y"&amp;"9LPKx95PyL5OKy09d-KbKJSuuEZCFdkhYjwC0XQjBA/edit?usp=share_link"",""พิจิตร!I385"")+IMPORTRANGE(""https://docs.google.com/spreadsheets/d/16OMuOwy2eVqZcYWOouQtTpa8X1L23h4660uVHc0C8os/edit?usp=share_link"",""พิษณุโลก!I385"")+IMPORTRANGE(""https://docs.google."&amp;"com/spreadsheets/d/1GfgTldLG6k77HXaMQzaafODklYuucJZQNs_GAPEfZyY/edit?usp=share_link"",""เพชรบูรณ์!I385"")+IMPORTRANGE(""https://docs.google.com/spreadsheets/d/1gvTMYAnm7v1yG1BKWFtr0DnaTsq59oW9dwWvFgq6hs0/edit?usp=share_link"",""แพร่!I385"")+IMPORTRANGE("""&amp;"https://docs.google.com/spreadsheets/d/1Wbcosgy-Xa1xXUArJSOenub6EfZHUSzc_bpJFWwQUf0/edit?usp=share_link"",""แม่ฮ่องสอน!I385"")+IMPORTRANGE(""https://docs.google.com/spreadsheets/d/1p7ERhsr0qZeSn-KSOdeHS9r0heI-lHtkcn2OH7hP0jQ/edit?usp=share_link"",""ลำปาง!"&amp;"I385"")+IMPORTRANGE(""https://docs.google.com/spreadsheets/d/1-uUXvimVhiU2U0bMN-xi2te0tS4X7DI2GLPnMjzl8cA/edit?usp=share_link"",""ลำพูน!I385"")+IMPORTRANGE(""https://docs.google.com/spreadsheets/d/17HrOaa5pBUI1onckFfumXB8xlg35qb2uBAFfF1D-Myo/edit?usp=shar"&amp;"e_link"",""สุโขทัย!I385"")+IMPORTRANGE(""https://docs.google.com/spreadsheets/d/1ubs5cl16eYL9gHbdHTJtmtYb9MGzHBs7CAphn8kNCgM/edit?usp=share_link"",""อุตรดิตถ์!I385"")+IMPORTRANGE(""https://docs.google.com/spreadsheets/d/1kII0BjS6CtVrBvI8IrytgPdxDrlyQDyigz"&amp;"MsohRtDMs/edit?usp=share_link"",""อุทัยธานี!I385"")
"),760)</f>
        <v>760</v>
      </c>
      <c r="J385" s="469">
        <f ca="1">IFERROR(__xludf.DUMMYFUNCTION("IMPORTRANGE(""https://docs.google.com/spreadsheets/d/1KxicF4apzSqm0-jIpmueT4kyZtE-Cwn5zskl7GD4loQ/edit?usp=share_link"",""กำแพงเพชร!J385"")+IMPORTRANGE(""https://docs.google.com/spreadsheets/d/1ZNYWeiFoFA1K1U4xKWqRX29MBvEyRHXORjo734Gnq_c/edit?usp=share_li"&amp;"nk"",""เชียงราย!J385"")
+IMPORTRANGE(""https://docs.google.com/spreadsheets/d/1Jgv0Y7YlHDtsiDawwp-uvifEJ8HVaSn0k2aGHG8-hwM/edit?usp=share_link"",""เชียงใหม่!J385"")+IMPORTRANGE(""https://docs.google.com/spreadsheets/d/1JWG2rZePOz9pe-f-ObA-yDr0VoOX2kSb0qIi"&amp;"x2mTUo8/edit?usp=share_link"",""ตาก!J385"")+IMPORTRANGE(""https://docs.google.com/spreadsheets/d/10nSRjK08hx8Y6HgSOQKNw81lyY46Zc7U_Cj72hBMp9U/edit?usp=share_link"",""นครสวรรค์!J385"")+IMPORTRANGE(""https://docs.google.com/spreadsheets/d/1gFVb7qd7amutrIxAA"&amp;"oM7lcy35hllxznovot8lyOfvDo/edit?usp=share_link"",""น่าน!J385"")+IMPORTRANGE(""https://docs.google.com/spreadsheets/d/1K0Aa9s-6EuHE5M0FG1F9aHLXRCOV917xvycTdLdct0w/edit?usp=share_link"",""พะเยา!J385"")+IMPORTRANGE(""https://docs.google.com/spreadsheets/d/1Y"&amp;"9LPKx95PyL5OKy09d-KbKJSuuEZCFdkhYjwC0XQjBA/edit?usp=share_link"",""พิจิตร!J385"")+IMPORTRANGE(""https://docs.google.com/spreadsheets/d/16OMuOwy2eVqZcYWOouQtTpa8X1L23h4660uVHc0C8os/edit?usp=share_link"",""พิษณุโลก!J385"")+IMPORTRANGE(""https://docs.google."&amp;"com/spreadsheets/d/1GfgTldLG6k77HXaMQzaafODklYuucJZQNs_GAPEfZyY/edit?usp=share_link"",""เพชรบูรณ์!J385"")+IMPORTRANGE(""https://docs.google.com/spreadsheets/d/1gvTMYAnm7v1yG1BKWFtr0DnaTsq59oW9dwWvFgq6hs0/edit?usp=share_link"",""แพร่!J385"")+IMPORTRANGE("""&amp;"https://docs.google.com/spreadsheets/d/1Wbcosgy-Xa1xXUArJSOenub6EfZHUSzc_bpJFWwQUf0/edit?usp=share_link"",""แม่ฮ่องสอน!J385"")+IMPORTRANGE(""https://docs.google.com/spreadsheets/d/1p7ERhsr0qZeSn-KSOdeHS9r0heI-lHtkcn2OH7hP0jQ/edit?usp=share_link"",""ลำปาง!"&amp;"J385"")+IMPORTRANGE(""https://docs.google.com/spreadsheets/d/1-uUXvimVhiU2U0bMN-xi2te0tS4X7DI2GLPnMjzl8cA/edit?usp=share_link"",""ลำพูน!J385"")+IMPORTRANGE(""https://docs.google.com/spreadsheets/d/17HrOaa5pBUI1onckFfumXB8xlg35qb2uBAFfF1D-Myo/edit?usp=shar"&amp;"e_link"",""สุโขทัย!J385"")+IMPORTRANGE(""https://docs.google.com/spreadsheets/d/1ubs5cl16eYL9gHbdHTJtmtYb9MGzHBs7CAphn8kNCgM/edit?usp=share_link"",""อุตรดิตถ์!J385"")+IMPORTRANGE(""https://docs.google.com/spreadsheets/d/1kII0BjS6CtVrBvI8IrytgPdxDrlyQDyigz"&amp;"MsohRtDMs/edit?usp=share_link"",""อุทัยธานี!J385"")
"),53)</f>
        <v>53</v>
      </c>
      <c r="K385" s="470">
        <f ca="1">IF(I385&gt;0,J385*100/I385,0)</f>
        <v>6.9736842105263159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ca="1" si="194">I400</f>
        <v>0</v>
      </c>
      <c r="J388" s="490">
        <f t="shared" ca="1" si="194"/>
        <v>0</v>
      </c>
      <c r="K388" s="491">
        <f ca="1"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5">L390+L391</f>
        <v>0</v>
      </c>
      <c r="M389" s="155">
        <f t="shared" ca="1" si="195"/>
        <v>0</v>
      </c>
      <c r="N389" s="155">
        <f t="shared" ca="1" si="195"/>
        <v>0</v>
      </c>
      <c r="O389" s="155">
        <f t="shared" ref="O389:O397" ca="1" si="196">IF(L389&gt;0,N389*100/L389,0)</f>
        <v>0</v>
      </c>
      <c r="P389" s="155">
        <f t="shared" ref="P389:P397" ca="1" si="19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8">L393+L396</f>
        <v>0</v>
      </c>
      <c r="M390" s="45">
        <f t="shared" si="198"/>
        <v>0</v>
      </c>
      <c r="N390" s="45">
        <f t="shared" si="198"/>
        <v>0</v>
      </c>
      <c r="O390" s="45">
        <f t="shared" si="196"/>
        <v>0</v>
      </c>
      <c r="P390" s="45">
        <f t="shared" si="19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9">L394+L397</f>
        <v>0</v>
      </c>
      <c r="M391" s="45">
        <f t="shared" ca="1" si="199"/>
        <v>0</v>
      </c>
      <c r="N391" s="45">
        <f t="shared" ca="1" si="199"/>
        <v>0</v>
      </c>
      <c r="O391" s="45">
        <f t="shared" ca="1" si="196"/>
        <v>0</v>
      </c>
      <c r="P391" s="45">
        <f t="shared" ca="1" si="19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200">L393+L394</f>
        <v>0</v>
      </c>
      <c r="M392" s="38">
        <f t="shared" ca="1" si="200"/>
        <v>0</v>
      </c>
      <c r="N392" s="38">
        <f t="shared" ca="1" si="200"/>
        <v>0</v>
      </c>
      <c r="O392" s="38">
        <f t="shared" ca="1" si="196"/>
        <v>0</v>
      </c>
      <c r="P392" s="38">
        <f t="shared" ca="1" si="19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6"/>
        <v>0</v>
      </c>
      <c r="P393" s="45">
        <f t="shared" si="19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xicF4apzSqm0-jIpmueT4kyZtE-Cwn5zskl7GD4loQ/edit?usp=share_link"",""กำแพงเพชร!l394"")+IMPORTRANGE(""https://docs.google.com/spreadsheets/d/1ZNYWeiFoFA1K1U4xKWqRX29MBvEyRHXORjo734Gnq_c/edit?usp=share_li"&amp;"nk"",""เชียงราย!l394"")
+IMPORTRANGE(""https://docs.google.com/spreadsheets/d/1Jgv0Y7YlHDtsiDawwp-uvifEJ8HVaSn0k2aGHG8-hwM/edit?usp=share_link"",""เชียงใหม่!l394"")+IMPORTRANGE(""https://docs.google.com/spreadsheets/d/1JWG2rZePOz9pe-f-ObA-yDr0VoOX2kSb0qIi"&amp;"x2mTUo8/edit?usp=share_link"",""ตาก!l394"")+IMPORTRANGE(""https://docs.google.com/spreadsheets/d/10nSRjK08hx8Y6HgSOQKNw81lyY46Zc7U_Cj72hBMp9U/edit?usp=share_link"",""นครสวรรค์!l394"")+IMPORTRANGE(""https://docs.google.com/spreadsheets/d/1gFVb7qd7amutrIxAA"&amp;"oM7lcy35hllxznovot8lyOfvDo/edit?usp=share_link"",""น่าน!l394"")+IMPORTRANGE(""https://docs.google.com/spreadsheets/d/1K0Aa9s-6EuHE5M0FG1F9aHLXRCOV917xvycTdLdct0w/edit?usp=share_link"",""พะเยา!l394"")+IMPORTRANGE(""https://docs.google.com/spreadsheets/d/1Y"&amp;"9LPKx95PyL5OKy09d-KbKJSuuEZCFdkhYjwC0XQjBA/edit?usp=share_link"",""พิจิตร!l394"")+IMPORTRANGE(""https://docs.google.com/spreadsheets/d/16OMuOwy2eVqZcYWOouQtTpa8X1L23h4660uVHc0C8os/edit?usp=share_link"",""พิษณุโลก!l394"")+IMPORTRANGE(""https://docs.google."&amp;"com/spreadsheets/d/1GfgTldLG6k77HXaMQzaafODklYuucJZQNs_GAPEfZyY/edit?usp=share_link"",""เพชรบูรณ์!l394"")+IMPORTRANGE(""https://docs.google.com/spreadsheets/d/1gvTMYAnm7v1yG1BKWFtr0DnaTsq59oW9dwWvFgq6hs0/edit?usp=share_link"",""แพร่!l394"")+IMPORTRANGE("""&amp;"https://docs.google.com/spreadsheets/d/1Wbcosgy-Xa1xXUArJSOenub6EfZHUSzc_bpJFWwQUf0/edit?usp=share_link"",""แม่ฮ่องสอน!l394"")+IMPORTRANGE(""https://docs.google.com/spreadsheets/d/1p7ERhsr0qZeSn-KSOdeHS9r0heI-lHtkcn2OH7hP0jQ/edit?usp=share_link"",""ลำปาง!"&amp;"l394"")+IMPORTRANGE(""https://docs.google.com/spreadsheets/d/1-uUXvimVhiU2U0bMN-xi2te0tS4X7DI2GLPnMjzl8cA/edit?usp=share_link"",""ลำพูน!l394"")+IMPORTRANGE(""https://docs.google.com/spreadsheets/d/17HrOaa5pBUI1onckFfumXB8xlg35qb2uBAFfF1D-Myo/edit?usp=shar"&amp;"e_link"",""สุโขทัย!l394"")+IMPORTRANGE(""https://docs.google.com/spreadsheets/d/1ubs5cl16eYL9gHbdHTJtmtYb9MGzHBs7CAphn8kNCgM/edit?usp=share_link"",""อุตรดิตถ์!l394"")+IMPORTRANGE(""https://docs.google.com/spreadsheets/d/1kII0BjS6CtVrBvI8IrytgPdxDrlyQDyigz"&amp;"MsohRtDMs/edit?usp=share_link"",""อุทัยธานี!l394"")
"),0)</f>
        <v>0</v>
      </c>
      <c r="M394" s="45">
        <f ca="1">IFERROR(__xludf.DUMMYFUNCTION("IMPORTRANGE(""https://docs.google.com/spreadsheets/d/1KxicF4apzSqm0-jIpmueT4kyZtE-Cwn5zskl7GD4loQ/edit?usp=share_link"",""กำแพงเพชร!m394"")+IMPORTRANGE(""https://docs.google.com/spreadsheets/d/1ZNYWeiFoFA1K1U4xKWqRX29MBvEyRHXORjo734Gnq_c/edit?usp=share_li"&amp;"nk"",""เชียงราย!m394"")
+IMPORTRANGE(""https://docs.google.com/spreadsheets/d/1Jgv0Y7YlHDtsiDawwp-uvifEJ8HVaSn0k2aGHG8-hwM/edit?usp=share_link"",""เชียงใหม่!m394"")+IMPORTRANGE(""https://docs.google.com/spreadsheets/d/1JWG2rZePOz9pe-f-ObA-yDr0VoOX2kSb0qIi"&amp;"x2mTUo8/edit?usp=share_link"",""ตาก!m394"")+IMPORTRANGE(""https://docs.google.com/spreadsheets/d/10nSRjK08hx8Y6HgSOQKNw81lyY46Zc7U_Cj72hBMp9U/edit?usp=share_link"",""นครสวรรค์!m394"")+IMPORTRANGE(""https://docs.google.com/spreadsheets/d/1gFVb7qd7amutrIxAA"&amp;"oM7lcy35hllxznovot8lyOfvDo/edit?usp=share_link"",""น่าน!m394"")+IMPORTRANGE(""https://docs.google.com/spreadsheets/d/1K0Aa9s-6EuHE5M0FG1F9aHLXRCOV917xvycTdLdct0w/edit?usp=share_link"",""พะเยา!m394"")+IMPORTRANGE(""https://docs.google.com/spreadsheets/d/1Y"&amp;"9LPKx95PyL5OKy09d-KbKJSuuEZCFdkhYjwC0XQjBA/edit?usp=share_link"",""พิจิตร!m394"")+IMPORTRANGE(""https://docs.google.com/spreadsheets/d/16OMuOwy2eVqZcYWOouQtTpa8X1L23h4660uVHc0C8os/edit?usp=share_link"",""พิษณุโลก!m394"")+IMPORTRANGE(""https://docs.google."&amp;"com/spreadsheets/d/1GfgTldLG6k77HXaMQzaafODklYuucJZQNs_GAPEfZyY/edit?usp=share_link"",""เพชรบูรณ์!m394"")+IMPORTRANGE(""https://docs.google.com/spreadsheets/d/1gvTMYAnm7v1yG1BKWFtr0DnaTsq59oW9dwWvFgq6hs0/edit?usp=share_link"",""แพร่!m394"")+IMPORTRANGE("""&amp;"https://docs.google.com/spreadsheets/d/1Wbcosgy-Xa1xXUArJSOenub6EfZHUSzc_bpJFWwQUf0/edit?usp=share_link"",""แม่ฮ่องสอน!m394"")+IMPORTRANGE(""https://docs.google.com/spreadsheets/d/1p7ERhsr0qZeSn-KSOdeHS9r0heI-lHtkcn2OH7hP0jQ/edit?usp=share_link"",""ลำปาง!"&amp;"m394"")+IMPORTRANGE(""https://docs.google.com/spreadsheets/d/1-uUXvimVhiU2U0bMN-xi2te0tS4X7DI2GLPnMjzl8cA/edit?usp=share_link"",""ลำพูน!m394"")+IMPORTRANGE(""https://docs.google.com/spreadsheets/d/17HrOaa5pBUI1onckFfumXB8xlg35qb2uBAFfF1D-Myo/edit?usp=shar"&amp;"e_link"",""สุโขทัย!m394"")+IMPORTRANGE(""https://docs.google.com/spreadsheets/d/1ubs5cl16eYL9gHbdHTJtmtYb9MGzHBs7CAphn8kNCgM/edit?usp=share_link"",""อุตรดิตถ์!m394"")+IMPORTRANGE(""https://docs.google.com/spreadsheets/d/1kII0BjS6CtVrBvI8IrytgPdxDrlyQDyigz"&amp;"MsohRtDMs/edit?usp=share_link"",""อุทัยธานี!m394"")
"),0)</f>
        <v>0</v>
      </c>
      <c r="N394" s="45">
        <f ca="1">IFERROR(__xludf.DUMMYFUNCTION("IMPORTRANGE(""https://docs.google.com/spreadsheets/d/1KxicF4apzSqm0-jIpmueT4kyZtE-Cwn5zskl7GD4loQ/edit?usp=share_link"",""กำแพงเพชร!n394"")+IMPORTRANGE(""https://docs.google.com/spreadsheets/d/1ZNYWeiFoFA1K1U4xKWqRX29MBvEyRHXORjo734Gnq_c/edit?usp=share_li"&amp;"nk"",""เชียงราย!n394"")
+IMPORTRANGE(""https://docs.google.com/spreadsheets/d/1Jgv0Y7YlHDtsiDawwp-uvifEJ8HVaSn0k2aGHG8-hwM/edit?usp=share_link"",""เชียงใหม่!n394"")+IMPORTRANGE(""https://docs.google.com/spreadsheets/d/1JWG2rZePOz9pe-f-ObA-yDr0VoOX2kSb0qIi"&amp;"x2mTUo8/edit?usp=share_link"",""ตาก!n394"")+IMPORTRANGE(""https://docs.google.com/spreadsheets/d/10nSRjK08hx8Y6HgSOQKNw81lyY46Zc7U_Cj72hBMp9U/edit?usp=share_link"",""นครสวรรค์!n394"")+IMPORTRANGE(""https://docs.google.com/spreadsheets/d/1gFVb7qd7amutrIxAA"&amp;"oM7lcy35hllxznovot8lyOfvDo/edit?usp=share_link"",""น่าน!n394"")+IMPORTRANGE(""https://docs.google.com/spreadsheets/d/1K0Aa9s-6EuHE5M0FG1F9aHLXRCOV917xvycTdLdct0w/edit?usp=share_link"",""พะเยา!n394"")+IMPORTRANGE(""https://docs.google.com/spreadsheets/d/1Y"&amp;"9LPKx95PyL5OKy09d-KbKJSuuEZCFdkhYjwC0XQjBA/edit?usp=share_link"",""พิจิตร!n394"")+IMPORTRANGE(""https://docs.google.com/spreadsheets/d/16OMuOwy2eVqZcYWOouQtTpa8X1L23h4660uVHc0C8os/edit?usp=share_link"",""พิษณุโลก!n394"")+IMPORTRANGE(""https://docs.google."&amp;"com/spreadsheets/d/1GfgTldLG6k77HXaMQzaafODklYuucJZQNs_GAPEfZyY/edit?usp=share_link"",""เพชรบูรณ์!n394"")+IMPORTRANGE(""https://docs.google.com/spreadsheets/d/1gvTMYAnm7v1yG1BKWFtr0DnaTsq59oW9dwWvFgq6hs0/edit?usp=share_link"",""แพร่!n394"")+IMPORTRANGE("""&amp;"https://docs.google.com/spreadsheets/d/1Wbcosgy-Xa1xXUArJSOenub6EfZHUSzc_bpJFWwQUf0/edit?usp=share_link"",""แม่ฮ่องสอน!n394"")+IMPORTRANGE(""https://docs.google.com/spreadsheets/d/1p7ERhsr0qZeSn-KSOdeHS9r0heI-lHtkcn2OH7hP0jQ/edit?usp=share_link"",""ลำปาง!"&amp;"n394"")+IMPORTRANGE(""https://docs.google.com/spreadsheets/d/1-uUXvimVhiU2U0bMN-xi2te0tS4X7DI2GLPnMjzl8cA/edit?usp=share_link"",""ลำพูน!n394"")+IMPORTRANGE(""https://docs.google.com/spreadsheets/d/17HrOaa5pBUI1onckFfumXB8xlg35qb2uBAFfF1D-Myo/edit?usp=shar"&amp;"e_link"",""สุโขทัย!n394"")+IMPORTRANGE(""https://docs.google.com/spreadsheets/d/1ubs5cl16eYL9gHbdHTJtmtYb9MGzHBs7CAphn8kNCgM/edit?usp=share_link"",""อุตรดิตถ์!n394"")+IMPORTRANGE(""https://docs.google.com/spreadsheets/d/1kII0BjS6CtVrBvI8IrytgPdxDrlyQDyigz"&amp;"MsohRtDMs/edit?usp=share_link"",""อุทัยธานี!n394"")
"),0)</f>
        <v>0</v>
      </c>
      <c r="O394" s="45">
        <f t="shared" ca="1" si="196"/>
        <v>0</v>
      </c>
      <c r="P394" s="45">
        <f t="shared" ca="1" si="19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1">L396+L397</f>
        <v>0</v>
      </c>
      <c r="M395" s="38">
        <f t="shared" ca="1" si="201"/>
        <v>0</v>
      </c>
      <c r="N395" s="38">
        <f t="shared" ca="1" si="201"/>
        <v>0</v>
      </c>
      <c r="O395" s="38">
        <f t="shared" ca="1" si="196"/>
        <v>0</v>
      </c>
      <c r="P395" s="38">
        <f t="shared" ca="1" si="19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6"/>
        <v>0</v>
      </c>
      <c r="P396" s="45">
        <f t="shared" si="19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xicF4apzSqm0-jIpmueT4kyZtE-Cwn5zskl7GD4loQ/edit?usp=share_link"",""กำแพงเพชร!l397"")+IMPORTRANGE(""https://docs.google.com/spreadsheets/d/1ZNYWeiFoFA1K1U4xKWqRX29MBvEyRHXORjo734Gnq_c/edit?usp=share_li"&amp;"nk"",""เชียงราย!l397"")
+IMPORTRANGE(""https://docs.google.com/spreadsheets/d/1Jgv0Y7YlHDtsiDawwp-uvifEJ8HVaSn0k2aGHG8-hwM/edit?usp=share_link"",""เชียงใหม่!l397"")+IMPORTRANGE(""https://docs.google.com/spreadsheets/d/1JWG2rZePOz9pe-f-ObA-yDr0VoOX2kSb0qIi"&amp;"x2mTUo8/edit?usp=share_link"",""ตาก!l397"")+IMPORTRANGE(""https://docs.google.com/spreadsheets/d/10nSRjK08hx8Y6HgSOQKNw81lyY46Zc7U_Cj72hBMp9U/edit?usp=share_link"",""นครสวรรค์!l397"")+IMPORTRANGE(""https://docs.google.com/spreadsheets/d/1gFVb7qd7amutrIxAA"&amp;"oM7lcy35hllxznovot8lyOfvDo/edit?usp=share_link"",""น่าน!l397"")+IMPORTRANGE(""https://docs.google.com/spreadsheets/d/1K0Aa9s-6EuHE5M0FG1F9aHLXRCOV917xvycTdLdct0w/edit?usp=share_link"",""พะเยา!l397"")+IMPORTRANGE(""https://docs.google.com/spreadsheets/d/1Y"&amp;"9LPKx95PyL5OKy09d-KbKJSuuEZCFdkhYjwC0XQjBA/edit?usp=share_link"",""พิจิตร!l397"")+IMPORTRANGE(""https://docs.google.com/spreadsheets/d/16OMuOwy2eVqZcYWOouQtTpa8X1L23h4660uVHc0C8os/edit?usp=share_link"",""พิษณุโลก!l397"")+IMPORTRANGE(""https://docs.google."&amp;"com/spreadsheets/d/1GfgTldLG6k77HXaMQzaafODklYuucJZQNs_GAPEfZyY/edit?usp=share_link"",""เพชรบูรณ์!l397"")+IMPORTRANGE(""https://docs.google.com/spreadsheets/d/1gvTMYAnm7v1yG1BKWFtr0DnaTsq59oW9dwWvFgq6hs0/edit?usp=share_link"",""แพร่!l397"")+IMPORTRANGE("""&amp;"https://docs.google.com/spreadsheets/d/1Wbcosgy-Xa1xXUArJSOenub6EfZHUSzc_bpJFWwQUf0/edit?usp=share_link"",""แม่ฮ่องสอน!l397"")+IMPORTRANGE(""https://docs.google.com/spreadsheets/d/1p7ERhsr0qZeSn-KSOdeHS9r0heI-lHtkcn2OH7hP0jQ/edit?usp=share_link"",""ลำปาง!"&amp;"l397"")+IMPORTRANGE(""https://docs.google.com/spreadsheets/d/1-uUXvimVhiU2U0bMN-xi2te0tS4X7DI2GLPnMjzl8cA/edit?usp=share_link"",""ลำพูน!l397"")+IMPORTRANGE(""https://docs.google.com/spreadsheets/d/17HrOaa5pBUI1onckFfumXB8xlg35qb2uBAFfF1D-Myo/edit?usp=shar"&amp;"e_link"",""สุโขทัย!l397"")+IMPORTRANGE(""https://docs.google.com/spreadsheets/d/1ubs5cl16eYL9gHbdHTJtmtYb9MGzHBs7CAphn8kNCgM/edit?usp=share_link"",""อุตรดิตถ์!l397"")+IMPORTRANGE(""https://docs.google.com/spreadsheets/d/1kII0BjS6CtVrBvI8IrytgPdxDrlyQDyigz"&amp;"MsohRtDMs/edit?usp=share_link"",""อุทัยธานี!l397"")
"),0)</f>
        <v>0</v>
      </c>
      <c r="M397" s="45">
        <f ca="1">IFERROR(__xludf.DUMMYFUNCTION("IMPORTRANGE(""https://docs.google.com/spreadsheets/d/1KxicF4apzSqm0-jIpmueT4kyZtE-Cwn5zskl7GD4loQ/edit?usp=share_link"",""กำแพงเพชร!m397"")+IMPORTRANGE(""https://docs.google.com/spreadsheets/d/1ZNYWeiFoFA1K1U4xKWqRX29MBvEyRHXORjo734Gnq_c/edit?usp=share_li"&amp;"nk"",""เชียงราย!m397"")
+IMPORTRANGE(""https://docs.google.com/spreadsheets/d/1Jgv0Y7YlHDtsiDawwp-uvifEJ8HVaSn0k2aGHG8-hwM/edit?usp=share_link"",""เชียงใหม่!m397"")+IMPORTRANGE(""https://docs.google.com/spreadsheets/d/1JWG2rZePOz9pe-f-ObA-yDr0VoOX2kSb0qIi"&amp;"x2mTUo8/edit?usp=share_link"",""ตาก!m397"")+IMPORTRANGE(""https://docs.google.com/spreadsheets/d/10nSRjK08hx8Y6HgSOQKNw81lyY46Zc7U_Cj72hBMp9U/edit?usp=share_link"",""นครสวรรค์!m397"")+IMPORTRANGE(""https://docs.google.com/spreadsheets/d/1gFVb7qd7amutrIxAA"&amp;"oM7lcy35hllxznovot8lyOfvDo/edit?usp=share_link"",""น่าน!m397"")+IMPORTRANGE(""https://docs.google.com/spreadsheets/d/1K0Aa9s-6EuHE5M0FG1F9aHLXRCOV917xvycTdLdct0w/edit?usp=share_link"",""พะเยา!m397"")+IMPORTRANGE(""https://docs.google.com/spreadsheets/d/1Y"&amp;"9LPKx95PyL5OKy09d-KbKJSuuEZCFdkhYjwC0XQjBA/edit?usp=share_link"",""พิจิตร!m397"")+IMPORTRANGE(""https://docs.google.com/spreadsheets/d/16OMuOwy2eVqZcYWOouQtTpa8X1L23h4660uVHc0C8os/edit?usp=share_link"",""พิษณุโลก!m397"")+IMPORTRANGE(""https://docs.google."&amp;"com/spreadsheets/d/1GfgTldLG6k77HXaMQzaafODklYuucJZQNs_GAPEfZyY/edit?usp=share_link"",""เพชรบูรณ์!m397"")+IMPORTRANGE(""https://docs.google.com/spreadsheets/d/1gvTMYAnm7v1yG1BKWFtr0DnaTsq59oW9dwWvFgq6hs0/edit?usp=share_link"",""แพร่!m397"")+IMPORTRANGE("""&amp;"https://docs.google.com/spreadsheets/d/1Wbcosgy-Xa1xXUArJSOenub6EfZHUSzc_bpJFWwQUf0/edit?usp=share_link"",""แม่ฮ่องสอน!m397"")+IMPORTRANGE(""https://docs.google.com/spreadsheets/d/1p7ERhsr0qZeSn-KSOdeHS9r0heI-lHtkcn2OH7hP0jQ/edit?usp=share_link"",""ลำปาง!"&amp;"m397"")+IMPORTRANGE(""https://docs.google.com/spreadsheets/d/1-uUXvimVhiU2U0bMN-xi2te0tS4X7DI2GLPnMjzl8cA/edit?usp=share_link"",""ลำพูน!m397"")+IMPORTRANGE(""https://docs.google.com/spreadsheets/d/17HrOaa5pBUI1onckFfumXB8xlg35qb2uBAFfF1D-Myo/edit?usp=shar"&amp;"e_link"",""สุโขทัย!m397"")+IMPORTRANGE(""https://docs.google.com/spreadsheets/d/1ubs5cl16eYL9gHbdHTJtmtYb9MGzHBs7CAphn8kNCgM/edit?usp=share_link"",""อุตรดิตถ์!m397"")+IMPORTRANGE(""https://docs.google.com/spreadsheets/d/1kII0BjS6CtVrBvI8IrytgPdxDrlyQDyigz"&amp;"MsohRtDMs/edit?usp=share_link"",""อุทัยธานี!m397"")
"),0)</f>
        <v>0</v>
      </c>
      <c r="N397" s="45">
        <f ca="1">IFERROR(__xludf.DUMMYFUNCTION("IMPORTRANGE(""https://docs.google.com/spreadsheets/d/1KxicF4apzSqm0-jIpmueT4kyZtE-Cwn5zskl7GD4loQ/edit?usp=share_link"",""กำแพงเพชร!n397"")+IMPORTRANGE(""https://docs.google.com/spreadsheets/d/1ZNYWeiFoFA1K1U4xKWqRX29MBvEyRHXORjo734Gnq_c/edit?usp=share_li"&amp;"nk"",""เชียงราย!n397"")
+IMPORTRANGE(""https://docs.google.com/spreadsheets/d/1Jgv0Y7YlHDtsiDawwp-uvifEJ8HVaSn0k2aGHG8-hwM/edit?usp=share_link"",""เชียงใหม่!n397"")+IMPORTRANGE(""https://docs.google.com/spreadsheets/d/1JWG2rZePOz9pe-f-ObA-yDr0VoOX2kSb0qIi"&amp;"x2mTUo8/edit?usp=share_link"",""ตาก!n397"")+IMPORTRANGE(""https://docs.google.com/spreadsheets/d/10nSRjK08hx8Y6HgSOQKNw81lyY46Zc7U_Cj72hBMp9U/edit?usp=share_link"",""นครสวรรค์!n397"")+IMPORTRANGE(""https://docs.google.com/spreadsheets/d/1gFVb7qd7amutrIxAA"&amp;"oM7lcy35hllxznovot8lyOfvDo/edit?usp=share_link"",""น่าน!n397"")+IMPORTRANGE(""https://docs.google.com/spreadsheets/d/1K0Aa9s-6EuHE5M0FG1F9aHLXRCOV917xvycTdLdct0w/edit?usp=share_link"",""พะเยา!n397"")+IMPORTRANGE(""https://docs.google.com/spreadsheets/d/1Y"&amp;"9LPKx95PyL5OKy09d-KbKJSuuEZCFdkhYjwC0XQjBA/edit?usp=share_link"",""พิจิตร!n397"")+IMPORTRANGE(""https://docs.google.com/spreadsheets/d/16OMuOwy2eVqZcYWOouQtTpa8X1L23h4660uVHc0C8os/edit?usp=share_link"",""พิษณุโลก!n397"")+IMPORTRANGE(""https://docs.google."&amp;"com/spreadsheets/d/1GfgTldLG6k77HXaMQzaafODklYuucJZQNs_GAPEfZyY/edit?usp=share_link"",""เพชรบูรณ์!n397"")+IMPORTRANGE(""https://docs.google.com/spreadsheets/d/1gvTMYAnm7v1yG1BKWFtr0DnaTsq59oW9dwWvFgq6hs0/edit?usp=share_link"",""แพร่!n397"")+IMPORTRANGE("""&amp;"https://docs.google.com/spreadsheets/d/1Wbcosgy-Xa1xXUArJSOenub6EfZHUSzc_bpJFWwQUf0/edit?usp=share_link"",""แม่ฮ่องสอน!n397"")+IMPORTRANGE(""https://docs.google.com/spreadsheets/d/1p7ERhsr0qZeSn-KSOdeHS9r0heI-lHtkcn2OH7hP0jQ/edit?usp=share_link"",""ลำปาง!"&amp;"n397"")+IMPORTRANGE(""https://docs.google.com/spreadsheets/d/1-uUXvimVhiU2U0bMN-xi2te0tS4X7DI2GLPnMjzl8cA/edit?usp=share_link"",""ลำพูน!n397"")+IMPORTRANGE(""https://docs.google.com/spreadsheets/d/17HrOaa5pBUI1onckFfumXB8xlg35qb2uBAFfF1D-Myo/edit?usp=shar"&amp;"e_link"",""สุโขทัย!n397"")+IMPORTRANGE(""https://docs.google.com/spreadsheets/d/1ubs5cl16eYL9gHbdHTJtmtYb9MGzHBs7CAphn8kNCgM/edit?usp=share_link"",""อุตรดิตถ์!n397"")+IMPORTRANGE(""https://docs.google.com/spreadsheets/d/1kII0BjS6CtVrBvI8IrytgPdxDrlyQDyigz"&amp;"MsohRtDMs/edit?usp=share_link"",""อุทัยธานี!n397"")
"),0)</f>
        <v>0</v>
      </c>
      <c r="O397" s="45">
        <f t="shared" ca="1" si="196"/>
        <v>0</v>
      </c>
      <c r="P397" s="45">
        <f t="shared" ca="1" si="19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f ca="1">IFERROR(__xludf.DUMMYFUNCTION("IMPORTRANGE(""https://docs.google.com/spreadsheets/d/1KxicF4apzSqm0-jIpmueT4kyZtE-Cwn5zskl7GD4loQ/edit?usp=share_link"",""กำแพงเพชร!I399"")+IMPORTRANGE(""https://docs.google.com/spreadsheets/d/1ZNYWeiFoFA1K1U4xKWqRX29MBvEyRHXORjo734Gnq_c/edit?usp=share_li"&amp;"nk"",""เชียงราย!I399"")
+IMPORTRANGE(""https://docs.google.com/spreadsheets/d/1Jgv0Y7YlHDtsiDawwp-uvifEJ8HVaSn0k2aGHG8-hwM/edit?usp=share_link"",""เชียงใหม่!I399"")+IMPORTRANGE(""https://docs.google.com/spreadsheets/d/1JWG2rZePOz9pe-f-ObA-yDr0VoOX2kSb0qIi"&amp;"x2mTUo8/edit?usp=share_link"",""ตาก!I399"")+IMPORTRANGE(""https://docs.google.com/spreadsheets/d/10nSRjK08hx8Y6HgSOQKNw81lyY46Zc7U_Cj72hBMp9U/edit?usp=share_link"",""นครสวรรค์!I399"")+IMPORTRANGE(""https://docs.google.com/spreadsheets/d/1gFVb7qd7amutrIxAA"&amp;"oM7lcy35hllxznovot8lyOfvDo/edit?usp=share_link"",""น่าน!I399"")+IMPORTRANGE(""https://docs.google.com/spreadsheets/d/1K0Aa9s-6EuHE5M0FG1F9aHLXRCOV917xvycTdLdct0w/edit?usp=share_link"",""พะเยา!I399"")+IMPORTRANGE(""https://docs.google.com/spreadsheets/d/1Y"&amp;"9LPKx95PyL5OKy09d-KbKJSuuEZCFdkhYjwC0XQjBA/edit?usp=share_link"",""พิจิตร!I399"")+IMPORTRANGE(""https://docs.google.com/spreadsheets/d/16OMuOwy2eVqZcYWOouQtTpa8X1L23h4660uVHc0C8os/edit?usp=share_link"",""พิษณุโลก!I399"")+IMPORTRANGE(""https://docs.google."&amp;"com/spreadsheets/d/1GfgTldLG6k77HXaMQzaafODklYuucJZQNs_GAPEfZyY/edit?usp=share_link"",""เพชรบูรณ์!I399"")+IMPORTRANGE(""https://docs.google.com/spreadsheets/d/1gvTMYAnm7v1yG1BKWFtr0DnaTsq59oW9dwWvFgq6hs0/edit?usp=share_link"",""แพร่!I399"")+IMPORTRANGE("""&amp;"https://docs.google.com/spreadsheets/d/1Wbcosgy-Xa1xXUArJSOenub6EfZHUSzc_bpJFWwQUf0/edit?usp=share_link"",""แม่ฮ่องสอน!I399"")+IMPORTRANGE(""https://docs.google.com/spreadsheets/d/1p7ERhsr0qZeSn-KSOdeHS9r0heI-lHtkcn2OH7hP0jQ/edit?usp=share_link"",""ลำปาง!"&amp;"I399"")+IMPORTRANGE(""https://docs.google.com/spreadsheets/d/1-uUXvimVhiU2U0bMN-xi2te0tS4X7DI2GLPnMjzl8cA/edit?usp=share_link"",""ลำพูน!I399"")+IMPORTRANGE(""https://docs.google.com/spreadsheets/d/17HrOaa5pBUI1onckFfumXB8xlg35qb2uBAFfF1D-Myo/edit?usp=shar"&amp;"e_link"",""สุโขทัย!I399"")+IMPORTRANGE(""https://docs.google.com/spreadsheets/d/1ubs5cl16eYL9gHbdHTJtmtYb9MGzHBs7CAphn8kNCgM/edit?usp=share_link"",""อุตรดิตถ์!I399"")+IMPORTRANGE(""https://docs.google.com/spreadsheets/d/1kII0BjS6CtVrBvI8IrytgPdxDrlyQDyigz"&amp;"MsohRtDMs/edit?usp=share_link"",""อุทัยธานี!I399"")
"),0)</f>
        <v>0</v>
      </c>
      <c r="J399" s="183">
        <f ca="1">IFERROR(__xludf.DUMMYFUNCTION("IMPORTRANGE(""https://docs.google.com/spreadsheets/d/1KxicF4apzSqm0-jIpmueT4kyZtE-Cwn5zskl7GD4loQ/edit?usp=share_link"",""กำแพงเพชร!J399"")+IMPORTRANGE(""https://docs.google.com/spreadsheets/d/1ZNYWeiFoFA1K1U4xKWqRX29MBvEyRHXORjo734Gnq_c/edit?usp=share_li"&amp;"nk"",""เชียงราย!J399"")
+IMPORTRANGE(""https://docs.google.com/spreadsheets/d/1Jgv0Y7YlHDtsiDawwp-uvifEJ8HVaSn0k2aGHG8-hwM/edit?usp=share_link"",""เชียงใหม่!J399"")+IMPORTRANGE(""https://docs.google.com/spreadsheets/d/1JWG2rZePOz9pe-f-ObA-yDr0VoOX2kSb0qIi"&amp;"x2mTUo8/edit?usp=share_link"",""ตาก!J399"")+IMPORTRANGE(""https://docs.google.com/spreadsheets/d/10nSRjK08hx8Y6HgSOQKNw81lyY46Zc7U_Cj72hBMp9U/edit?usp=share_link"",""นครสวรรค์!J399"")+IMPORTRANGE(""https://docs.google.com/spreadsheets/d/1gFVb7qd7amutrIxAA"&amp;"oM7lcy35hllxznovot8lyOfvDo/edit?usp=share_link"",""น่าน!J399"")+IMPORTRANGE(""https://docs.google.com/spreadsheets/d/1K0Aa9s-6EuHE5M0FG1F9aHLXRCOV917xvycTdLdct0w/edit?usp=share_link"",""พะเยา!J399"")+IMPORTRANGE(""https://docs.google.com/spreadsheets/d/1Y"&amp;"9LPKx95PyL5OKy09d-KbKJSuuEZCFdkhYjwC0XQjBA/edit?usp=share_link"",""พิจิตร!J399"")+IMPORTRANGE(""https://docs.google.com/spreadsheets/d/16OMuOwy2eVqZcYWOouQtTpa8X1L23h4660uVHc0C8os/edit?usp=share_link"",""พิษณุโลก!J399"")+IMPORTRANGE(""https://docs.google."&amp;"com/spreadsheets/d/1GfgTldLG6k77HXaMQzaafODklYuucJZQNs_GAPEfZyY/edit?usp=share_link"",""เพชรบูรณ์!J399"")+IMPORTRANGE(""https://docs.google.com/spreadsheets/d/1gvTMYAnm7v1yG1BKWFtr0DnaTsq59oW9dwWvFgq6hs0/edit?usp=share_link"",""แพร่!J399"")+IMPORTRANGE("""&amp;"https://docs.google.com/spreadsheets/d/1Wbcosgy-Xa1xXUArJSOenub6EfZHUSzc_bpJFWwQUf0/edit?usp=share_link"",""แม่ฮ่องสอน!J399"")+IMPORTRANGE(""https://docs.google.com/spreadsheets/d/1p7ERhsr0qZeSn-KSOdeHS9r0heI-lHtkcn2OH7hP0jQ/edit?usp=share_link"",""ลำปาง!"&amp;"J399"")+IMPORTRANGE(""https://docs.google.com/spreadsheets/d/1-uUXvimVhiU2U0bMN-xi2te0tS4X7DI2GLPnMjzl8cA/edit?usp=share_link"",""ลำพูน!J399"")+IMPORTRANGE(""https://docs.google.com/spreadsheets/d/17HrOaa5pBUI1onckFfumXB8xlg35qb2uBAFfF1D-Myo/edit?usp=shar"&amp;"e_link"",""สุโขทัย!J399"")+IMPORTRANGE(""https://docs.google.com/spreadsheets/d/1ubs5cl16eYL9gHbdHTJtmtYb9MGzHBs7CAphn8kNCgM/edit?usp=share_link"",""อุตรดิตถ์!J399"")+IMPORTRANGE(""https://docs.google.com/spreadsheets/d/1kII0BjS6CtVrBvI8IrytgPdxDrlyQDyigz"&amp;"MsohRtDMs/edit?usp=share_link"",""อุทัยธานี!J399"")
"),0)</f>
        <v>0</v>
      </c>
      <c r="K399" s="38">
        <f t="shared" ref="K399:K401" ca="1" si="20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xicF4apzSqm0-jIpmueT4kyZtE-Cwn5zskl7GD4loQ/edit?usp=share_link"",""กำแพงเพชร!I400"")+IMPORTRANGE(""https://docs.google.com/spreadsheets/d/1ZNYWeiFoFA1K1U4xKWqRX29MBvEyRHXORjo734Gnq_c/edit?usp=share_li"&amp;"nk"",""เชียงราย!I400"")
+IMPORTRANGE(""https://docs.google.com/spreadsheets/d/1Jgv0Y7YlHDtsiDawwp-uvifEJ8HVaSn0k2aGHG8-hwM/edit?usp=share_link"",""เชียงใหม่!I400"")+IMPORTRANGE(""https://docs.google.com/spreadsheets/d/1JWG2rZePOz9pe-f-ObA-yDr0VoOX2kSb0qIi"&amp;"x2mTUo8/edit?usp=share_link"",""ตาก!I400"")+IMPORTRANGE(""https://docs.google.com/spreadsheets/d/10nSRjK08hx8Y6HgSOQKNw81lyY46Zc7U_Cj72hBMp9U/edit?usp=share_link"",""นครสวรรค์!I400"")+IMPORTRANGE(""https://docs.google.com/spreadsheets/d/1gFVb7qd7amutrIxAA"&amp;"oM7lcy35hllxznovot8lyOfvDo/edit?usp=share_link"",""น่าน!I400"")+IMPORTRANGE(""https://docs.google.com/spreadsheets/d/1K0Aa9s-6EuHE5M0FG1F9aHLXRCOV917xvycTdLdct0w/edit?usp=share_link"",""พะเยา!I400"")+IMPORTRANGE(""https://docs.google.com/spreadsheets/d/1Y"&amp;"9LPKx95PyL5OKy09d-KbKJSuuEZCFdkhYjwC0XQjBA/edit?usp=share_link"",""พิจิตร!I400"")+IMPORTRANGE(""https://docs.google.com/spreadsheets/d/16OMuOwy2eVqZcYWOouQtTpa8X1L23h4660uVHc0C8os/edit?usp=share_link"",""พิษณุโลก!I400"")+IMPORTRANGE(""https://docs.google."&amp;"com/spreadsheets/d/1GfgTldLG6k77HXaMQzaafODklYuucJZQNs_GAPEfZyY/edit?usp=share_link"",""เพชรบูรณ์!I400"")+IMPORTRANGE(""https://docs.google.com/spreadsheets/d/1gvTMYAnm7v1yG1BKWFtr0DnaTsq59oW9dwWvFgq6hs0/edit?usp=share_link"",""แพร่!I400"")+IMPORTRANGE("""&amp;"https://docs.google.com/spreadsheets/d/1Wbcosgy-Xa1xXUArJSOenub6EfZHUSzc_bpJFWwQUf0/edit?usp=share_link"",""แม่ฮ่องสอน!I400"")+IMPORTRANGE(""https://docs.google.com/spreadsheets/d/1p7ERhsr0qZeSn-KSOdeHS9r0heI-lHtkcn2OH7hP0jQ/edit?usp=share_link"",""ลำปาง!"&amp;"I400"")+IMPORTRANGE(""https://docs.google.com/spreadsheets/d/1-uUXvimVhiU2U0bMN-xi2te0tS4X7DI2GLPnMjzl8cA/edit?usp=share_link"",""ลำพูน!I400"")+IMPORTRANGE(""https://docs.google.com/spreadsheets/d/17HrOaa5pBUI1onckFfumXB8xlg35qb2uBAFfF1D-Myo/edit?usp=shar"&amp;"e_link"",""สุโขทัย!I400"")+IMPORTRANGE(""https://docs.google.com/spreadsheets/d/1ubs5cl16eYL9gHbdHTJtmtYb9MGzHBs7CAphn8kNCgM/edit?usp=share_link"",""อุตรดิตถ์!I400"")+IMPORTRANGE(""https://docs.google.com/spreadsheets/d/1kII0BjS6CtVrBvI8IrytgPdxDrlyQDyigz"&amp;"MsohRtDMs/edit?usp=share_link"",""อุทัยธานี!I400"")
"),0)</f>
        <v>0</v>
      </c>
      <c r="J400" s="183">
        <f ca="1">IFERROR(__xludf.DUMMYFUNCTION("IMPORTRANGE(""https://docs.google.com/spreadsheets/d/1KxicF4apzSqm0-jIpmueT4kyZtE-Cwn5zskl7GD4loQ/edit?usp=share_link"",""กำแพงเพชร!J400"")+IMPORTRANGE(""https://docs.google.com/spreadsheets/d/1ZNYWeiFoFA1K1U4xKWqRX29MBvEyRHXORjo734Gnq_c/edit?usp=share_li"&amp;"nk"",""เชียงราย!J400"")
+IMPORTRANGE(""https://docs.google.com/spreadsheets/d/1Jgv0Y7YlHDtsiDawwp-uvifEJ8HVaSn0k2aGHG8-hwM/edit?usp=share_link"",""เชียงใหม่!J400"")+IMPORTRANGE(""https://docs.google.com/spreadsheets/d/1JWG2rZePOz9pe-f-ObA-yDr0VoOX2kSb0qIi"&amp;"x2mTUo8/edit?usp=share_link"",""ตาก!J400"")+IMPORTRANGE(""https://docs.google.com/spreadsheets/d/10nSRjK08hx8Y6HgSOQKNw81lyY46Zc7U_Cj72hBMp9U/edit?usp=share_link"",""นครสวรรค์!J400"")+IMPORTRANGE(""https://docs.google.com/spreadsheets/d/1gFVb7qd7amutrIxAA"&amp;"oM7lcy35hllxznovot8lyOfvDo/edit?usp=share_link"",""น่าน!J400"")+IMPORTRANGE(""https://docs.google.com/spreadsheets/d/1K0Aa9s-6EuHE5M0FG1F9aHLXRCOV917xvycTdLdct0w/edit?usp=share_link"",""พะเยา!J400"")+IMPORTRANGE(""https://docs.google.com/spreadsheets/d/1Y"&amp;"9LPKx95PyL5OKy09d-KbKJSuuEZCFdkhYjwC0XQjBA/edit?usp=share_link"",""พิจิตร!J400"")+IMPORTRANGE(""https://docs.google.com/spreadsheets/d/16OMuOwy2eVqZcYWOouQtTpa8X1L23h4660uVHc0C8os/edit?usp=share_link"",""พิษณุโลก!J400"")+IMPORTRANGE(""https://docs.google."&amp;"com/spreadsheets/d/1GfgTldLG6k77HXaMQzaafODklYuucJZQNs_GAPEfZyY/edit?usp=share_link"",""เพชรบูรณ์!J400"")+IMPORTRANGE(""https://docs.google.com/spreadsheets/d/1gvTMYAnm7v1yG1BKWFtr0DnaTsq59oW9dwWvFgq6hs0/edit?usp=share_link"",""แพร่!J400"")+IMPORTRANGE("""&amp;"https://docs.google.com/spreadsheets/d/1Wbcosgy-Xa1xXUArJSOenub6EfZHUSzc_bpJFWwQUf0/edit?usp=share_link"",""แม่ฮ่องสอน!J400"")+IMPORTRANGE(""https://docs.google.com/spreadsheets/d/1p7ERhsr0qZeSn-KSOdeHS9r0heI-lHtkcn2OH7hP0jQ/edit?usp=share_link"",""ลำปาง!"&amp;"J400"")+IMPORTRANGE(""https://docs.google.com/spreadsheets/d/1-uUXvimVhiU2U0bMN-xi2te0tS4X7DI2GLPnMjzl8cA/edit?usp=share_link"",""ลำพูน!J400"")+IMPORTRANGE(""https://docs.google.com/spreadsheets/d/17HrOaa5pBUI1onckFfumXB8xlg35qb2uBAFfF1D-Myo/edit?usp=shar"&amp;"e_link"",""สุโขทัย!J400"")+IMPORTRANGE(""https://docs.google.com/spreadsheets/d/1ubs5cl16eYL9gHbdHTJtmtYb9MGzHBs7CAphn8kNCgM/edit?usp=share_link"",""อุตรดิตถ์!J400"")+IMPORTRANGE(""https://docs.google.com/spreadsheets/d/1kII0BjS6CtVrBvI8IrytgPdxDrlyQDyigz"&amp;"MsohRtDMs/edit?usp=share_link"",""อุทัยธานี!J400"")
"),0)</f>
        <v>0</v>
      </c>
      <c r="K400" s="38">
        <f t="shared" ca="1" si="202"/>
        <v>0</v>
      </c>
      <c r="L400" s="38"/>
      <c r="M400" s="38"/>
      <c r="N400" s="38"/>
      <c r="O400" s="38"/>
      <c r="P400" s="38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ca="1" si="203">I412</f>
        <v>0</v>
      </c>
      <c r="J401" s="490">
        <f t="shared" ca="1" si="203"/>
        <v>0</v>
      </c>
      <c r="K401" s="491">
        <f t="shared" ca="1" si="20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4">L403+L404</f>
        <v>0</v>
      </c>
      <c r="M402" s="155">
        <f t="shared" ca="1" si="204"/>
        <v>0</v>
      </c>
      <c r="N402" s="155">
        <f t="shared" ca="1" si="204"/>
        <v>0</v>
      </c>
      <c r="O402" s="155">
        <f t="shared" ref="O402:O410" ca="1" si="205">IF(L402&gt;0,N402*100/L402,0)</f>
        <v>0</v>
      </c>
      <c r="P402" s="155">
        <f t="shared" ref="P402:P410" ca="1" si="20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7">L406+L409</f>
        <v>0</v>
      </c>
      <c r="M403" s="45">
        <f t="shared" si="207"/>
        <v>0</v>
      </c>
      <c r="N403" s="45">
        <f t="shared" si="207"/>
        <v>0</v>
      </c>
      <c r="O403" s="45">
        <f t="shared" si="205"/>
        <v>0</v>
      </c>
      <c r="P403" s="45">
        <f t="shared" si="20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8">L407+L410</f>
        <v>0</v>
      </c>
      <c r="M404" s="45">
        <f t="shared" ca="1" si="208"/>
        <v>0</v>
      </c>
      <c r="N404" s="45">
        <f t="shared" ca="1" si="208"/>
        <v>0</v>
      </c>
      <c r="O404" s="45">
        <f t="shared" ca="1" si="205"/>
        <v>0</v>
      </c>
      <c r="P404" s="45">
        <f t="shared" ca="1" si="20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9">L406+L407</f>
        <v>0</v>
      </c>
      <c r="M405" s="38">
        <f t="shared" ca="1" si="209"/>
        <v>0</v>
      </c>
      <c r="N405" s="38">
        <f t="shared" ca="1" si="209"/>
        <v>0</v>
      </c>
      <c r="O405" s="38">
        <f t="shared" ca="1" si="205"/>
        <v>0</v>
      </c>
      <c r="P405" s="38">
        <f t="shared" ca="1" si="20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5"/>
        <v>0</v>
      </c>
      <c r="P406" s="45">
        <f t="shared" si="20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xicF4apzSqm0-jIpmueT4kyZtE-Cwn5zskl7GD4loQ/edit?usp=share_link"",""กำแพงเพชร!l407"")+IMPORTRANGE(""https://docs.google.com/spreadsheets/d/1ZNYWeiFoFA1K1U4xKWqRX29MBvEyRHXORjo734Gnq_c/edit?usp=share_li"&amp;"nk"",""เชียงราย!l407"")
+IMPORTRANGE(""https://docs.google.com/spreadsheets/d/1Jgv0Y7YlHDtsiDawwp-uvifEJ8HVaSn0k2aGHG8-hwM/edit?usp=share_link"",""เชียงใหม่!l407"")+IMPORTRANGE(""https://docs.google.com/spreadsheets/d/1JWG2rZePOz9pe-f-ObA-yDr0VoOX2kSb0qIi"&amp;"x2mTUo8/edit?usp=share_link"",""ตาก!l407"")+IMPORTRANGE(""https://docs.google.com/spreadsheets/d/10nSRjK08hx8Y6HgSOQKNw81lyY46Zc7U_Cj72hBMp9U/edit?usp=share_link"",""นครสวรรค์!l407"")+IMPORTRANGE(""https://docs.google.com/spreadsheets/d/1gFVb7qd7amutrIxAA"&amp;"oM7lcy35hllxznovot8lyOfvDo/edit?usp=share_link"",""น่าน!l407"")+IMPORTRANGE(""https://docs.google.com/spreadsheets/d/1K0Aa9s-6EuHE5M0FG1F9aHLXRCOV917xvycTdLdct0w/edit?usp=share_link"",""พะเยา!l407"")+IMPORTRANGE(""https://docs.google.com/spreadsheets/d/1Y"&amp;"9LPKx95PyL5OKy09d-KbKJSuuEZCFdkhYjwC0XQjBA/edit?usp=share_link"",""พิจิตร!l407"")+IMPORTRANGE(""https://docs.google.com/spreadsheets/d/16OMuOwy2eVqZcYWOouQtTpa8X1L23h4660uVHc0C8os/edit?usp=share_link"",""พิษณุโลก!l407"")+IMPORTRANGE(""https://docs.google."&amp;"com/spreadsheets/d/1GfgTldLG6k77HXaMQzaafODklYuucJZQNs_GAPEfZyY/edit?usp=share_link"",""เพชรบูรณ์!l407"")+IMPORTRANGE(""https://docs.google.com/spreadsheets/d/1gvTMYAnm7v1yG1BKWFtr0DnaTsq59oW9dwWvFgq6hs0/edit?usp=share_link"",""แพร่!l407"")+IMPORTRANGE("""&amp;"https://docs.google.com/spreadsheets/d/1Wbcosgy-Xa1xXUArJSOenub6EfZHUSzc_bpJFWwQUf0/edit?usp=share_link"",""แม่ฮ่องสอน!l407"")+IMPORTRANGE(""https://docs.google.com/spreadsheets/d/1p7ERhsr0qZeSn-KSOdeHS9r0heI-lHtkcn2OH7hP0jQ/edit?usp=share_link"",""ลำปาง!"&amp;"l407"")+IMPORTRANGE(""https://docs.google.com/spreadsheets/d/1-uUXvimVhiU2U0bMN-xi2te0tS4X7DI2GLPnMjzl8cA/edit?usp=share_link"",""ลำพูน!l407"")+IMPORTRANGE(""https://docs.google.com/spreadsheets/d/17HrOaa5pBUI1onckFfumXB8xlg35qb2uBAFfF1D-Myo/edit?usp=shar"&amp;"e_link"",""สุโขทัย!l407"")+IMPORTRANGE(""https://docs.google.com/spreadsheets/d/1ubs5cl16eYL9gHbdHTJtmtYb9MGzHBs7CAphn8kNCgM/edit?usp=share_link"",""อุตรดิตถ์!l407"")+IMPORTRANGE(""https://docs.google.com/spreadsheets/d/1kII0BjS6CtVrBvI8IrytgPdxDrlyQDyigz"&amp;"MsohRtDMs/edit?usp=share_link"",""อุทัยธานี!l407"")
"),0)</f>
        <v>0</v>
      </c>
      <c r="M407" s="45">
        <f ca="1">IFERROR(__xludf.DUMMYFUNCTION("IMPORTRANGE(""https://docs.google.com/spreadsheets/d/1KxicF4apzSqm0-jIpmueT4kyZtE-Cwn5zskl7GD4loQ/edit?usp=share_link"",""กำแพงเพชร!m407"")+IMPORTRANGE(""https://docs.google.com/spreadsheets/d/1ZNYWeiFoFA1K1U4xKWqRX29MBvEyRHXORjo734Gnq_c/edit?usp=share_li"&amp;"nk"",""เชียงราย!m407"")
+IMPORTRANGE(""https://docs.google.com/spreadsheets/d/1Jgv0Y7YlHDtsiDawwp-uvifEJ8HVaSn0k2aGHG8-hwM/edit?usp=share_link"",""เชียงใหม่!m407"")+IMPORTRANGE(""https://docs.google.com/spreadsheets/d/1JWG2rZePOz9pe-f-ObA-yDr0VoOX2kSb0qIi"&amp;"x2mTUo8/edit?usp=share_link"",""ตาก!m407"")+IMPORTRANGE(""https://docs.google.com/spreadsheets/d/10nSRjK08hx8Y6HgSOQKNw81lyY46Zc7U_Cj72hBMp9U/edit?usp=share_link"",""นครสวรรค์!m407"")+IMPORTRANGE(""https://docs.google.com/spreadsheets/d/1gFVb7qd7amutrIxAA"&amp;"oM7lcy35hllxznovot8lyOfvDo/edit?usp=share_link"",""น่าน!m407"")+IMPORTRANGE(""https://docs.google.com/spreadsheets/d/1K0Aa9s-6EuHE5M0FG1F9aHLXRCOV917xvycTdLdct0w/edit?usp=share_link"",""พะเยา!m407"")+IMPORTRANGE(""https://docs.google.com/spreadsheets/d/1Y"&amp;"9LPKx95PyL5OKy09d-KbKJSuuEZCFdkhYjwC0XQjBA/edit?usp=share_link"",""พิจิตร!m407"")+IMPORTRANGE(""https://docs.google.com/spreadsheets/d/16OMuOwy2eVqZcYWOouQtTpa8X1L23h4660uVHc0C8os/edit?usp=share_link"",""พิษณุโลก!m407"")+IMPORTRANGE(""https://docs.google."&amp;"com/spreadsheets/d/1GfgTldLG6k77HXaMQzaafODklYuucJZQNs_GAPEfZyY/edit?usp=share_link"",""เพชรบูรณ์!m407"")+IMPORTRANGE(""https://docs.google.com/spreadsheets/d/1gvTMYAnm7v1yG1BKWFtr0DnaTsq59oW9dwWvFgq6hs0/edit?usp=share_link"",""แพร่!m407"")+IMPORTRANGE("""&amp;"https://docs.google.com/spreadsheets/d/1Wbcosgy-Xa1xXUArJSOenub6EfZHUSzc_bpJFWwQUf0/edit?usp=share_link"",""แม่ฮ่องสอน!m407"")+IMPORTRANGE(""https://docs.google.com/spreadsheets/d/1p7ERhsr0qZeSn-KSOdeHS9r0heI-lHtkcn2OH7hP0jQ/edit?usp=share_link"",""ลำปาง!"&amp;"m407"")+IMPORTRANGE(""https://docs.google.com/spreadsheets/d/1-uUXvimVhiU2U0bMN-xi2te0tS4X7DI2GLPnMjzl8cA/edit?usp=share_link"",""ลำพูน!m407"")+IMPORTRANGE(""https://docs.google.com/spreadsheets/d/17HrOaa5pBUI1onckFfumXB8xlg35qb2uBAFfF1D-Myo/edit?usp=shar"&amp;"e_link"",""สุโขทัย!m407"")+IMPORTRANGE(""https://docs.google.com/spreadsheets/d/1ubs5cl16eYL9gHbdHTJtmtYb9MGzHBs7CAphn8kNCgM/edit?usp=share_link"",""อุตรดิตถ์!m407"")+IMPORTRANGE(""https://docs.google.com/spreadsheets/d/1kII0BjS6CtVrBvI8IrytgPdxDrlyQDyigz"&amp;"MsohRtDMs/edit?usp=share_link"",""อุทัยธานี!m407"")
"),0)</f>
        <v>0</v>
      </c>
      <c r="N407" s="45">
        <f ca="1">IFERROR(__xludf.DUMMYFUNCTION("IMPORTRANGE(""https://docs.google.com/spreadsheets/d/1KxicF4apzSqm0-jIpmueT4kyZtE-Cwn5zskl7GD4loQ/edit?usp=share_link"",""กำแพงเพชร!n407"")+IMPORTRANGE(""https://docs.google.com/spreadsheets/d/1ZNYWeiFoFA1K1U4xKWqRX29MBvEyRHXORjo734Gnq_c/edit?usp=share_li"&amp;"nk"",""เชียงราย!n407"")
+IMPORTRANGE(""https://docs.google.com/spreadsheets/d/1Jgv0Y7YlHDtsiDawwp-uvifEJ8HVaSn0k2aGHG8-hwM/edit?usp=share_link"",""เชียงใหม่!n407"")+IMPORTRANGE(""https://docs.google.com/spreadsheets/d/1JWG2rZePOz9pe-f-ObA-yDr0VoOX2kSb0qIi"&amp;"x2mTUo8/edit?usp=share_link"",""ตาก!n407"")+IMPORTRANGE(""https://docs.google.com/spreadsheets/d/10nSRjK08hx8Y6HgSOQKNw81lyY46Zc7U_Cj72hBMp9U/edit?usp=share_link"",""นครสวรรค์!n407"")+IMPORTRANGE(""https://docs.google.com/spreadsheets/d/1gFVb7qd7amutrIxAA"&amp;"oM7lcy35hllxznovot8lyOfvDo/edit?usp=share_link"",""น่าน!n407"")+IMPORTRANGE(""https://docs.google.com/spreadsheets/d/1K0Aa9s-6EuHE5M0FG1F9aHLXRCOV917xvycTdLdct0w/edit?usp=share_link"",""พะเยา!n407"")+IMPORTRANGE(""https://docs.google.com/spreadsheets/d/1Y"&amp;"9LPKx95PyL5OKy09d-KbKJSuuEZCFdkhYjwC0XQjBA/edit?usp=share_link"",""พิจิตร!n407"")+IMPORTRANGE(""https://docs.google.com/spreadsheets/d/16OMuOwy2eVqZcYWOouQtTpa8X1L23h4660uVHc0C8os/edit?usp=share_link"",""พิษณุโลก!n407"")+IMPORTRANGE(""https://docs.google."&amp;"com/spreadsheets/d/1GfgTldLG6k77HXaMQzaafODklYuucJZQNs_GAPEfZyY/edit?usp=share_link"",""เพชรบูรณ์!n407"")+IMPORTRANGE(""https://docs.google.com/spreadsheets/d/1gvTMYAnm7v1yG1BKWFtr0DnaTsq59oW9dwWvFgq6hs0/edit?usp=share_link"",""แพร่!n407"")+IMPORTRANGE("""&amp;"https://docs.google.com/spreadsheets/d/1Wbcosgy-Xa1xXUArJSOenub6EfZHUSzc_bpJFWwQUf0/edit?usp=share_link"",""แม่ฮ่องสอน!n407"")+IMPORTRANGE(""https://docs.google.com/spreadsheets/d/1p7ERhsr0qZeSn-KSOdeHS9r0heI-lHtkcn2OH7hP0jQ/edit?usp=share_link"",""ลำปาง!"&amp;"n407"")+IMPORTRANGE(""https://docs.google.com/spreadsheets/d/1-uUXvimVhiU2U0bMN-xi2te0tS4X7DI2GLPnMjzl8cA/edit?usp=share_link"",""ลำพูน!n407"")+IMPORTRANGE(""https://docs.google.com/spreadsheets/d/17HrOaa5pBUI1onckFfumXB8xlg35qb2uBAFfF1D-Myo/edit?usp=shar"&amp;"e_link"",""สุโขทัย!n407"")+IMPORTRANGE(""https://docs.google.com/spreadsheets/d/1ubs5cl16eYL9gHbdHTJtmtYb9MGzHBs7CAphn8kNCgM/edit?usp=share_link"",""อุตรดิตถ์!n407"")+IMPORTRANGE(""https://docs.google.com/spreadsheets/d/1kII0BjS6CtVrBvI8IrytgPdxDrlyQDyigz"&amp;"MsohRtDMs/edit?usp=share_link"",""อุทัยธานี!n407"")
"),0)</f>
        <v>0</v>
      </c>
      <c r="O407" s="45">
        <f t="shared" ca="1" si="205"/>
        <v>0</v>
      </c>
      <c r="P407" s="45">
        <f t="shared" ca="1" si="20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10">L409+L410</f>
        <v>0</v>
      </c>
      <c r="M408" s="38">
        <f t="shared" ca="1" si="210"/>
        <v>0</v>
      </c>
      <c r="N408" s="38">
        <f t="shared" ca="1" si="210"/>
        <v>0</v>
      </c>
      <c r="O408" s="38">
        <f t="shared" ca="1" si="205"/>
        <v>0</v>
      </c>
      <c r="P408" s="38">
        <f t="shared" ca="1" si="20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5"/>
        <v>0</v>
      </c>
      <c r="P409" s="45">
        <f t="shared" si="20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xicF4apzSqm0-jIpmueT4kyZtE-Cwn5zskl7GD4loQ/edit?usp=share_link"",""กำแพงเพชร!l410"")+IMPORTRANGE(""https://docs.google.com/spreadsheets/d/1ZNYWeiFoFA1K1U4xKWqRX29MBvEyRHXORjo734Gnq_c/edit?usp=share_li"&amp;"nk"",""เชียงราย!l410"")
+IMPORTRANGE(""https://docs.google.com/spreadsheets/d/1Jgv0Y7YlHDtsiDawwp-uvifEJ8HVaSn0k2aGHG8-hwM/edit?usp=share_link"",""เชียงใหม่!l410"")+IMPORTRANGE(""https://docs.google.com/spreadsheets/d/1JWG2rZePOz9pe-f-ObA-yDr0VoOX2kSb0qIi"&amp;"x2mTUo8/edit?usp=share_link"",""ตาก!l410"")+IMPORTRANGE(""https://docs.google.com/spreadsheets/d/10nSRjK08hx8Y6HgSOQKNw81lyY46Zc7U_Cj72hBMp9U/edit?usp=share_link"",""นครสวรรค์!l410"")+IMPORTRANGE(""https://docs.google.com/spreadsheets/d/1gFVb7qd7amutrIxAA"&amp;"oM7lcy35hllxznovot8lyOfvDo/edit?usp=share_link"",""น่าน!l410"")+IMPORTRANGE(""https://docs.google.com/spreadsheets/d/1K0Aa9s-6EuHE5M0FG1F9aHLXRCOV917xvycTdLdct0w/edit?usp=share_link"",""พะเยา!l410"")+IMPORTRANGE(""https://docs.google.com/spreadsheets/d/1Y"&amp;"9LPKx95PyL5OKy09d-KbKJSuuEZCFdkhYjwC0XQjBA/edit?usp=share_link"",""พิจิตร!l410"")+IMPORTRANGE(""https://docs.google.com/spreadsheets/d/16OMuOwy2eVqZcYWOouQtTpa8X1L23h4660uVHc0C8os/edit?usp=share_link"",""พิษณุโลก!l410"")+IMPORTRANGE(""https://docs.google."&amp;"com/spreadsheets/d/1GfgTldLG6k77HXaMQzaafODklYuucJZQNs_GAPEfZyY/edit?usp=share_link"",""เพชรบูรณ์!l410"")+IMPORTRANGE(""https://docs.google.com/spreadsheets/d/1gvTMYAnm7v1yG1BKWFtr0DnaTsq59oW9dwWvFgq6hs0/edit?usp=share_link"",""แพร่!l410"")+IMPORTRANGE("""&amp;"https://docs.google.com/spreadsheets/d/1Wbcosgy-Xa1xXUArJSOenub6EfZHUSzc_bpJFWwQUf0/edit?usp=share_link"",""แม่ฮ่องสอน!l410"")+IMPORTRANGE(""https://docs.google.com/spreadsheets/d/1p7ERhsr0qZeSn-KSOdeHS9r0heI-lHtkcn2OH7hP0jQ/edit?usp=share_link"",""ลำปาง!"&amp;"l410"")+IMPORTRANGE(""https://docs.google.com/spreadsheets/d/1-uUXvimVhiU2U0bMN-xi2te0tS4X7DI2GLPnMjzl8cA/edit?usp=share_link"",""ลำพูน!l410"")+IMPORTRANGE(""https://docs.google.com/spreadsheets/d/17HrOaa5pBUI1onckFfumXB8xlg35qb2uBAFfF1D-Myo/edit?usp=shar"&amp;"e_link"",""สุโขทัย!l410"")+IMPORTRANGE(""https://docs.google.com/spreadsheets/d/1ubs5cl16eYL9gHbdHTJtmtYb9MGzHBs7CAphn8kNCgM/edit?usp=share_link"",""อุตรดิตถ์!l410"")+IMPORTRANGE(""https://docs.google.com/spreadsheets/d/1kII0BjS6CtVrBvI8IrytgPdxDrlyQDyigz"&amp;"MsohRtDMs/edit?usp=share_link"",""อุทัยธานี!l410"")
"),0)</f>
        <v>0</v>
      </c>
      <c r="M410" s="45">
        <f ca="1">IFERROR(__xludf.DUMMYFUNCTION("IMPORTRANGE(""https://docs.google.com/spreadsheets/d/1KxicF4apzSqm0-jIpmueT4kyZtE-Cwn5zskl7GD4loQ/edit?usp=share_link"",""กำแพงเพชร!m410"")+IMPORTRANGE(""https://docs.google.com/spreadsheets/d/1ZNYWeiFoFA1K1U4xKWqRX29MBvEyRHXORjo734Gnq_c/edit?usp=share_li"&amp;"nk"",""เชียงราย!m410"")
+IMPORTRANGE(""https://docs.google.com/spreadsheets/d/1Jgv0Y7YlHDtsiDawwp-uvifEJ8HVaSn0k2aGHG8-hwM/edit?usp=share_link"",""เชียงใหม่!m410"")+IMPORTRANGE(""https://docs.google.com/spreadsheets/d/1JWG2rZePOz9pe-f-ObA-yDr0VoOX2kSb0qIi"&amp;"x2mTUo8/edit?usp=share_link"",""ตาก!m410"")+IMPORTRANGE(""https://docs.google.com/spreadsheets/d/10nSRjK08hx8Y6HgSOQKNw81lyY46Zc7U_Cj72hBMp9U/edit?usp=share_link"",""นครสวรรค์!m410"")+IMPORTRANGE(""https://docs.google.com/spreadsheets/d/1gFVb7qd7amutrIxAA"&amp;"oM7lcy35hllxznovot8lyOfvDo/edit?usp=share_link"",""น่าน!m410"")+IMPORTRANGE(""https://docs.google.com/spreadsheets/d/1K0Aa9s-6EuHE5M0FG1F9aHLXRCOV917xvycTdLdct0w/edit?usp=share_link"",""พะเยา!m410"")+IMPORTRANGE(""https://docs.google.com/spreadsheets/d/1Y"&amp;"9LPKx95PyL5OKy09d-KbKJSuuEZCFdkhYjwC0XQjBA/edit?usp=share_link"",""พิจิตร!m410"")+IMPORTRANGE(""https://docs.google.com/spreadsheets/d/16OMuOwy2eVqZcYWOouQtTpa8X1L23h4660uVHc0C8os/edit?usp=share_link"",""พิษณุโลก!m410"")+IMPORTRANGE(""https://docs.google."&amp;"com/spreadsheets/d/1GfgTldLG6k77HXaMQzaafODklYuucJZQNs_GAPEfZyY/edit?usp=share_link"",""เพชรบูรณ์!m410"")+IMPORTRANGE(""https://docs.google.com/spreadsheets/d/1gvTMYAnm7v1yG1BKWFtr0DnaTsq59oW9dwWvFgq6hs0/edit?usp=share_link"",""แพร่!m410"")+IMPORTRANGE("""&amp;"https://docs.google.com/spreadsheets/d/1Wbcosgy-Xa1xXUArJSOenub6EfZHUSzc_bpJFWwQUf0/edit?usp=share_link"",""แม่ฮ่องสอน!m410"")+IMPORTRANGE(""https://docs.google.com/spreadsheets/d/1p7ERhsr0qZeSn-KSOdeHS9r0heI-lHtkcn2OH7hP0jQ/edit?usp=share_link"",""ลำปาง!"&amp;"m410"")+IMPORTRANGE(""https://docs.google.com/spreadsheets/d/1-uUXvimVhiU2U0bMN-xi2te0tS4X7DI2GLPnMjzl8cA/edit?usp=share_link"",""ลำพูน!m410"")+IMPORTRANGE(""https://docs.google.com/spreadsheets/d/17HrOaa5pBUI1onckFfumXB8xlg35qb2uBAFfF1D-Myo/edit?usp=shar"&amp;"e_link"",""สุโขทัย!m410"")+IMPORTRANGE(""https://docs.google.com/spreadsheets/d/1ubs5cl16eYL9gHbdHTJtmtYb9MGzHBs7CAphn8kNCgM/edit?usp=share_link"",""อุตรดิตถ์!m410"")+IMPORTRANGE(""https://docs.google.com/spreadsheets/d/1kII0BjS6CtVrBvI8IrytgPdxDrlyQDyigz"&amp;"MsohRtDMs/edit?usp=share_link"",""อุทัยธานี!m410"")
"),0)</f>
        <v>0</v>
      </c>
      <c r="N410" s="45">
        <f ca="1">IFERROR(__xludf.DUMMYFUNCTION("IMPORTRANGE(""https://docs.google.com/spreadsheets/d/1KxicF4apzSqm0-jIpmueT4kyZtE-Cwn5zskl7GD4loQ/edit?usp=share_link"",""กำแพงเพชร!n410"")+IMPORTRANGE(""https://docs.google.com/spreadsheets/d/1ZNYWeiFoFA1K1U4xKWqRX29MBvEyRHXORjo734Gnq_c/edit?usp=share_li"&amp;"nk"",""เชียงราย!n410"")
+IMPORTRANGE(""https://docs.google.com/spreadsheets/d/1Jgv0Y7YlHDtsiDawwp-uvifEJ8HVaSn0k2aGHG8-hwM/edit?usp=share_link"",""เชียงใหม่!n410"")+IMPORTRANGE(""https://docs.google.com/spreadsheets/d/1JWG2rZePOz9pe-f-ObA-yDr0VoOX2kSb0qIi"&amp;"x2mTUo8/edit?usp=share_link"",""ตาก!n410"")+IMPORTRANGE(""https://docs.google.com/spreadsheets/d/10nSRjK08hx8Y6HgSOQKNw81lyY46Zc7U_Cj72hBMp9U/edit?usp=share_link"",""นครสวรรค์!n410"")+IMPORTRANGE(""https://docs.google.com/spreadsheets/d/1gFVb7qd7amutrIxAA"&amp;"oM7lcy35hllxznovot8lyOfvDo/edit?usp=share_link"",""น่าน!n410"")+IMPORTRANGE(""https://docs.google.com/spreadsheets/d/1K0Aa9s-6EuHE5M0FG1F9aHLXRCOV917xvycTdLdct0w/edit?usp=share_link"",""พะเยา!n410"")+IMPORTRANGE(""https://docs.google.com/spreadsheets/d/1Y"&amp;"9LPKx95PyL5OKy09d-KbKJSuuEZCFdkhYjwC0XQjBA/edit?usp=share_link"",""พิจิตร!n410"")+IMPORTRANGE(""https://docs.google.com/spreadsheets/d/16OMuOwy2eVqZcYWOouQtTpa8X1L23h4660uVHc0C8os/edit?usp=share_link"",""พิษณุโลก!n410"")+IMPORTRANGE(""https://docs.google."&amp;"com/spreadsheets/d/1GfgTldLG6k77HXaMQzaafODklYuucJZQNs_GAPEfZyY/edit?usp=share_link"",""เพชรบูรณ์!n410"")+IMPORTRANGE(""https://docs.google.com/spreadsheets/d/1gvTMYAnm7v1yG1BKWFtr0DnaTsq59oW9dwWvFgq6hs0/edit?usp=share_link"",""แพร่!n410"")+IMPORTRANGE("""&amp;"https://docs.google.com/spreadsheets/d/1Wbcosgy-Xa1xXUArJSOenub6EfZHUSzc_bpJFWwQUf0/edit?usp=share_link"",""แม่ฮ่องสอน!n410"")+IMPORTRANGE(""https://docs.google.com/spreadsheets/d/1p7ERhsr0qZeSn-KSOdeHS9r0heI-lHtkcn2OH7hP0jQ/edit?usp=share_link"",""ลำปาง!"&amp;"n410"")+IMPORTRANGE(""https://docs.google.com/spreadsheets/d/1-uUXvimVhiU2U0bMN-xi2te0tS4X7DI2GLPnMjzl8cA/edit?usp=share_link"",""ลำพูน!n410"")+IMPORTRANGE(""https://docs.google.com/spreadsheets/d/17HrOaa5pBUI1onckFfumXB8xlg35qb2uBAFfF1D-Myo/edit?usp=shar"&amp;"e_link"",""สุโขทัย!n410"")+IMPORTRANGE(""https://docs.google.com/spreadsheets/d/1ubs5cl16eYL9gHbdHTJtmtYb9MGzHBs7CAphn8kNCgM/edit?usp=share_link"",""อุตรดิตถ์!n410"")+IMPORTRANGE(""https://docs.google.com/spreadsheets/d/1kII0BjS6CtVrBvI8IrytgPdxDrlyQDyigz"&amp;"MsohRtDMs/edit?usp=share_link"",""อุทัยธานี!n410"")
"),0)</f>
        <v>0</v>
      </c>
      <c r="O410" s="45">
        <f t="shared" ca="1" si="205"/>
        <v>0</v>
      </c>
      <c r="P410" s="45">
        <f t="shared" ca="1" si="20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498" t="s">
        <v>38</v>
      </c>
      <c r="E411" s="499"/>
      <c r="F411" s="499"/>
      <c r="G411" s="500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177</v>
      </c>
      <c r="E412" s="178"/>
      <c r="F412" s="178"/>
      <c r="G412" s="179"/>
      <c r="H412" s="501" t="s">
        <v>66</v>
      </c>
      <c r="I412" s="270">
        <f ca="1">IFERROR(__xludf.DUMMYFUNCTION("IMPORTRANGE(""https://docs.google.com/spreadsheets/d/1KxicF4apzSqm0-jIpmueT4kyZtE-Cwn5zskl7GD4loQ/edit?usp=share_link"",""กำแพงเพชร!I412"")+IMPORTRANGE(""https://docs.google.com/spreadsheets/d/1ZNYWeiFoFA1K1U4xKWqRX29MBvEyRHXORjo734Gnq_c/edit?usp=share_li"&amp;"nk"",""เชียงราย!I412"")
+IMPORTRANGE(""https://docs.google.com/spreadsheets/d/1Jgv0Y7YlHDtsiDawwp-uvifEJ8HVaSn0k2aGHG8-hwM/edit?usp=share_link"",""เชียงใหม่!I412"")+IMPORTRANGE(""https://docs.google.com/spreadsheets/d/1JWG2rZePOz9pe-f-ObA-yDr0VoOX2kSb0qIi"&amp;"x2mTUo8/edit?usp=share_link"",""ตาก!I412"")+IMPORTRANGE(""https://docs.google.com/spreadsheets/d/10nSRjK08hx8Y6HgSOQKNw81lyY46Zc7U_Cj72hBMp9U/edit?usp=share_link"",""นครสวรรค์!I412"")+IMPORTRANGE(""https://docs.google.com/spreadsheets/d/1gFVb7qd7amutrIxAA"&amp;"oM7lcy35hllxznovot8lyOfvDo/edit?usp=share_link"",""น่าน!I412"")+IMPORTRANGE(""https://docs.google.com/spreadsheets/d/1K0Aa9s-6EuHE5M0FG1F9aHLXRCOV917xvycTdLdct0w/edit?usp=share_link"",""พะเยา!I412"")+IMPORTRANGE(""https://docs.google.com/spreadsheets/d/1Y"&amp;"9LPKx95PyL5OKy09d-KbKJSuuEZCFdkhYjwC0XQjBA/edit?usp=share_link"",""พิจิตร!I412"")+IMPORTRANGE(""https://docs.google.com/spreadsheets/d/16OMuOwy2eVqZcYWOouQtTpa8X1L23h4660uVHc0C8os/edit?usp=share_link"",""พิษณุโลก!I412"")+IMPORTRANGE(""https://docs.google."&amp;"com/spreadsheets/d/1GfgTldLG6k77HXaMQzaafODklYuucJZQNs_GAPEfZyY/edit?usp=share_link"",""เพชรบูรณ์!I412"")+IMPORTRANGE(""https://docs.google.com/spreadsheets/d/1gvTMYAnm7v1yG1BKWFtr0DnaTsq59oW9dwWvFgq6hs0/edit?usp=share_link"",""แพร่!I412"")+IMPORTRANGE("""&amp;"https://docs.google.com/spreadsheets/d/1Wbcosgy-Xa1xXUArJSOenub6EfZHUSzc_bpJFWwQUf0/edit?usp=share_link"",""แม่ฮ่องสอน!I412"")+IMPORTRANGE(""https://docs.google.com/spreadsheets/d/1p7ERhsr0qZeSn-KSOdeHS9r0heI-lHtkcn2OH7hP0jQ/edit?usp=share_link"",""ลำปาง!"&amp;"I412"")+IMPORTRANGE(""https://docs.google.com/spreadsheets/d/1-uUXvimVhiU2U0bMN-xi2te0tS4X7DI2GLPnMjzl8cA/edit?usp=share_link"",""ลำพูน!I412"")+IMPORTRANGE(""https://docs.google.com/spreadsheets/d/17HrOaa5pBUI1onckFfumXB8xlg35qb2uBAFfF1D-Myo/edit?usp=shar"&amp;"e_link"",""สุโขทัย!I412"")+IMPORTRANGE(""https://docs.google.com/spreadsheets/d/1ubs5cl16eYL9gHbdHTJtmtYb9MGzHBs7CAphn8kNCgM/edit?usp=share_link"",""อุตรดิตถ์!I412"")+IMPORTRANGE(""https://docs.google.com/spreadsheets/d/1kII0BjS6CtVrBvI8IrytgPdxDrlyQDyigz"&amp;"MsohRtDMs/edit?usp=share_link"",""อุทัยธานี!I412"")
"),0)</f>
        <v>0</v>
      </c>
      <c r="J412" s="183">
        <f ca="1">IFERROR(__xludf.DUMMYFUNCTION("IMPORTRANGE(""https://docs.google.com/spreadsheets/d/1KxicF4apzSqm0-jIpmueT4kyZtE-Cwn5zskl7GD4loQ/edit?usp=share_link"",""กำแพงเพชร!J412"")+IMPORTRANGE(""https://docs.google.com/spreadsheets/d/1ZNYWeiFoFA1K1U4xKWqRX29MBvEyRHXORjo734Gnq_c/edit?usp=share_li"&amp;"nk"",""เชียงราย!J412"")
+IMPORTRANGE(""https://docs.google.com/spreadsheets/d/1Jgv0Y7YlHDtsiDawwp-uvifEJ8HVaSn0k2aGHG8-hwM/edit?usp=share_link"",""เชียงใหม่!J412"")+IMPORTRANGE(""https://docs.google.com/spreadsheets/d/1JWG2rZePOz9pe-f-ObA-yDr0VoOX2kSb0qIi"&amp;"x2mTUo8/edit?usp=share_link"",""ตาก!J412"")+IMPORTRANGE(""https://docs.google.com/spreadsheets/d/10nSRjK08hx8Y6HgSOQKNw81lyY46Zc7U_Cj72hBMp9U/edit?usp=share_link"",""นครสวรรค์!J412"")+IMPORTRANGE(""https://docs.google.com/spreadsheets/d/1gFVb7qd7amutrIxAA"&amp;"oM7lcy35hllxznovot8lyOfvDo/edit?usp=share_link"",""น่าน!J412"")+IMPORTRANGE(""https://docs.google.com/spreadsheets/d/1K0Aa9s-6EuHE5M0FG1F9aHLXRCOV917xvycTdLdct0w/edit?usp=share_link"",""พะเยา!J412"")+IMPORTRANGE(""https://docs.google.com/spreadsheets/d/1Y"&amp;"9LPKx95PyL5OKy09d-KbKJSuuEZCFdkhYjwC0XQjBA/edit?usp=share_link"",""พิจิตร!J412"")+IMPORTRANGE(""https://docs.google.com/spreadsheets/d/16OMuOwy2eVqZcYWOouQtTpa8X1L23h4660uVHc0C8os/edit?usp=share_link"",""พิษณุโลก!J412"")+IMPORTRANGE(""https://docs.google."&amp;"com/spreadsheets/d/1GfgTldLG6k77HXaMQzaafODklYuucJZQNs_GAPEfZyY/edit?usp=share_link"",""เพชรบูรณ์!J412"")+IMPORTRANGE(""https://docs.google.com/spreadsheets/d/1gvTMYAnm7v1yG1BKWFtr0DnaTsq59oW9dwWvFgq6hs0/edit?usp=share_link"",""แพร่!J412"")+IMPORTRANGE("""&amp;"https://docs.google.com/spreadsheets/d/1Wbcosgy-Xa1xXUArJSOenub6EfZHUSzc_bpJFWwQUf0/edit?usp=share_link"",""แม่ฮ่องสอน!J412"")+IMPORTRANGE(""https://docs.google.com/spreadsheets/d/1p7ERhsr0qZeSn-KSOdeHS9r0heI-lHtkcn2OH7hP0jQ/edit?usp=share_link"",""ลำปาง!"&amp;"J412"")+IMPORTRANGE(""https://docs.google.com/spreadsheets/d/1-uUXvimVhiU2U0bMN-xi2te0tS4X7DI2GLPnMjzl8cA/edit?usp=share_link"",""ลำพูน!J412"")+IMPORTRANGE(""https://docs.google.com/spreadsheets/d/17HrOaa5pBUI1onckFfumXB8xlg35qb2uBAFfF1D-Myo/edit?usp=shar"&amp;"e_link"",""สุโขทัย!J412"")+IMPORTRANGE(""https://docs.google.com/spreadsheets/d/1ubs5cl16eYL9gHbdHTJtmtYb9MGzHBs7CAphn8kNCgM/edit?usp=share_link"",""อุตรดิตถ์!J412"")+IMPORTRANGE(""https://docs.google.com/spreadsheets/d/1kII0BjS6CtVrBvI8IrytgPdxDrlyQDyigz"&amp;"MsohRtDMs/edit?usp=share_link"",""อุทัยธานี!J412"")
"),0)</f>
        <v>0</v>
      </c>
      <c r="K412" s="38">
        <f t="shared" ref="K412:K413" ca="1" si="211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f ca="1">IFERROR(__xludf.DUMMYFUNCTION("IMPORTRANGE(""https://docs.google.com/spreadsheets/d/1KxicF4apzSqm0-jIpmueT4kyZtE-Cwn5zskl7GD4loQ/edit?usp=share_link"",""กำแพงเพชร!I413"")+IMPORTRANGE(""https://docs.google.com/spreadsheets/d/1ZNYWeiFoFA1K1U4xKWqRX29MBvEyRHXORjo734Gnq_c/edit?usp=share_li"&amp;"nk"",""เชียงราย!I413"")
+IMPORTRANGE(""https://docs.google.com/spreadsheets/d/1Jgv0Y7YlHDtsiDawwp-uvifEJ8HVaSn0k2aGHG8-hwM/edit?usp=share_link"",""เชียงใหม่!I413"")+IMPORTRANGE(""https://docs.google.com/spreadsheets/d/1JWG2rZePOz9pe-f-ObA-yDr0VoOX2kSb0qIi"&amp;"x2mTUo8/edit?usp=share_link"",""ตาก!I413"")+IMPORTRANGE(""https://docs.google.com/spreadsheets/d/10nSRjK08hx8Y6HgSOQKNw81lyY46Zc7U_Cj72hBMp9U/edit?usp=share_link"",""นครสวรรค์!I413"")+IMPORTRANGE(""https://docs.google.com/spreadsheets/d/1gFVb7qd7amutrIxAA"&amp;"oM7lcy35hllxznovot8lyOfvDo/edit?usp=share_link"",""น่าน!I413"")+IMPORTRANGE(""https://docs.google.com/spreadsheets/d/1K0Aa9s-6EuHE5M0FG1F9aHLXRCOV917xvycTdLdct0w/edit?usp=share_link"",""พะเยา!I413"")+IMPORTRANGE(""https://docs.google.com/spreadsheets/d/1Y"&amp;"9LPKx95PyL5OKy09d-KbKJSuuEZCFdkhYjwC0XQjBA/edit?usp=share_link"",""พิจิตร!I413"")+IMPORTRANGE(""https://docs.google.com/spreadsheets/d/16OMuOwy2eVqZcYWOouQtTpa8X1L23h4660uVHc0C8os/edit?usp=share_link"",""พิษณุโลก!I413"")+IMPORTRANGE(""https://docs.google."&amp;"com/spreadsheets/d/1GfgTldLG6k77HXaMQzaafODklYuucJZQNs_GAPEfZyY/edit?usp=share_link"",""เพชรบูรณ์!I413"")+IMPORTRANGE(""https://docs.google.com/spreadsheets/d/1gvTMYAnm7v1yG1BKWFtr0DnaTsq59oW9dwWvFgq6hs0/edit?usp=share_link"",""แพร่!I413"")+IMPORTRANGE("""&amp;"https://docs.google.com/spreadsheets/d/1Wbcosgy-Xa1xXUArJSOenub6EfZHUSzc_bpJFWwQUf0/edit?usp=share_link"",""แม่ฮ่องสอน!I413"")+IMPORTRANGE(""https://docs.google.com/spreadsheets/d/1p7ERhsr0qZeSn-KSOdeHS9r0heI-lHtkcn2OH7hP0jQ/edit?usp=share_link"",""ลำปาง!"&amp;"I413"")+IMPORTRANGE(""https://docs.google.com/spreadsheets/d/1-uUXvimVhiU2U0bMN-xi2te0tS4X7DI2GLPnMjzl8cA/edit?usp=share_link"",""ลำพูน!I413"")+IMPORTRANGE(""https://docs.google.com/spreadsheets/d/17HrOaa5pBUI1onckFfumXB8xlg35qb2uBAFfF1D-Myo/edit?usp=shar"&amp;"e_link"",""สุโขทัย!I413"")+IMPORTRANGE(""https://docs.google.com/spreadsheets/d/1ubs5cl16eYL9gHbdHTJtmtYb9MGzHBs7CAphn8kNCgM/edit?usp=share_link"",""อุตรดิตถ์!I413"")+IMPORTRANGE(""https://docs.google.com/spreadsheets/d/1kII0BjS6CtVrBvI8IrytgPdxDrlyQDyigz"&amp;"MsohRtDMs/edit?usp=share_link"",""อุทัยธานี!I413"")
"),0)</f>
        <v>0</v>
      </c>
      <c r="J413" s="508">
        <f ca="1">IFERROR(__xludf.DUMMYFUNCTION("IMPORTRANGE(""https://docs.google.com/spreadsheets/d/1KxicF4apzSqm0-jIpmueT4kyZtE-Cwn5zskl7GD4loQ/edit?usp=share_link"",""กำแพงเพชร!J413"")+IMPORTRANGE(""https://docs.google.com/spreadsheets/d/1ZNYWeiFoFA1K1U4xKWqRX29MBvEyRHXORjo734Gnq_c/edit?usp=share_li"&amp;"nk"",""เชียงราย!J413"")
+IMPORTRANGE(""https://docs.google.com/spreadsheets/d/1Jgv0Y7YlHDtsiDawwp-uvifEJ8HVaSn0k2aGHG8-hwM/edit?usp=share_link"",""เชียงใหม่!J413"")+IMPORTRANGE(""https://docs.google.com/spreadsheets/d/1JWG2rZePOz9pe-f-ObA-yDr0VoOX2kSb0qIi"&amp;"x2mTUo8/edit?usp=share_link"",""ตาก!J413"")+IMPORTRANGE(""https://docs.google.com/spreadsheets/d/10nSRjK08hx8Y6HgSOQKNw81lyY46Zc7U_Cj72hBMp9U/edit?usp=share_link"",""นครสวรรค์!J413"")+IMPORTRANGE(""https://docs.google.com/spreadsheets/d/1gFVb7qd7amutrIxAA"&amp;"oM7lcy35hllxznovot8lyOfvDo/edit?usp=share_link"",""น่าน!J413"")+IMPORTRANGE(""https://docs.google.com/spreadsheets/d/1K0Aa9s-6EuHE5M0FG1F9aHLXRCOV917xvycTdLdct0w/edit?usp=share_link"",""พะเยา!J413"")+IMPORTRANGE(""https://docs.google.com/spreadsheets/d/1Y"&amp;"9LPKx95PyL5OKy09d-KbKJSuuEZCFdkhYjwC0XQjBA/edit?usp=share_link"",""พิจิตร!J413"")+IMPORTRANGE(""https://docs.google.com/spreadsheets/d/16OMuOwy2eVqZcYWOouQtTpa8X1L23h4660uVHc0C8os/edit?usp=share_link"",""พิษณุโลก!J413"")+IMPORTRANGE(""https://docs.google."&amp;"com/spreadsheets/d/1GfgTldLG6k77HXaMQzaafODklYuucJZQNs_GAPEfZyY/edit?usp=share_link"",""เพชรบูรณ์!J413"")+IMPORTRANGE(""https://docs.google.com/spreadsheets/d/1gvTMYAnm7v1yG1BKWFtr0DnaTsq59oW9dwWvFgq6hs0/edit?usp=share_link"",""แพร่!J413"")+IMPORTRANGE("""&amp;"https://docs.google.com/spreadsheets/d/1Wbcosgy-Xa1xXUArJSOenub6EfZHUSzc_bpJFWwQUf0/edit?usp=share_link"",""แม่ฮ่องสอน!J413"")+IMPORTRANGE(""https://docs.google.com/spreadsheets/d/1p7ERhsr0qZeSn-KSOdeHS9r0heI-lHtkcn2OH7hP0jQ/edit?usp=share_link"",""ลำปาง!"&amp;"J413"")+IMPORTRANGE(""https://docs.google.com/spreadsheets/d/1-uUXvimVhiU2U0bMN-xi2te0tS4X7DI2GLPnMjzl8cA/edit?usp=share_link"",""ลำพูน!J413"")+IMPORTRANGE(""https://docs.google.com/spreadsheets/d/17HrOaa5pBUI1onckFfumXB8xlg35qb2uBAFfF1D-Myo/edit?usp=shar"&amp;"e_link"",""สุโขทัย!J413"")+IMPORTRANGE(""https://docs.google.com/spreadsheets/d/1ubs5cl16eYL9gHbdHTJtmtYb9MGzHBs7CAphn8kNCgM/edit?usp=share_link"",""อุตรดิตถ์!J413"")+IMPORTRANGE(""https://docs.google.com/spreadsheets/d/1kII0BjS6CtVrBvI8IrytgPdxDrlyQDyigz"&amp;"MsohRtDMs/edit?usp=share_link"",""อุทัยธานี!J413"")
"),0)</f>
        <v>0</v>
      </c>
      <c r="K413" s="509">
        <f t="shared" ca="1" si="211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212">L419+L444+L467+L502+L523+L544+L629+L655+L685+L737+L754+L770+L786+L805</f>
        <v>36012079</v>
      </c>
      <c r="M414" s="517">
        <f t="shared" si="212"/>
        <v>0</v>
      </c>
      <c r="N414" s="517">
        <f t="shared" ca="1" si="212"/>
        <v>7873799.1899999985</v>
      </c>
      <c r="O414" s="517">
        <f ca="1">IF(L414&gt;0,N414*100/L414,0)</f>
        <v>21.864328327170444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8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7" ca="1" si="213">I433</f>
        <v>630</v>
      </c>
      <c r="J417" s="533">
        <f t="shared" ca="1" si="213"/>
        <v>270</v>
      </c>
      <c r="K417" s="534">
        <f t="shared" ref="K417:K418" ca="1" si="214">IF(I417&gt;0,J417*100/I417,0)</f>
        <v>42.857142857142854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ref="I418:J418" ca="1" si="215">I434</f>
        <v>24</v>
      </c>
      <c r="J418" s="533">
        <f t="shared" ca="1" si="215"/>
        <v>13</v>
      </c>
      <c r="K418" s="534">
        <f t="shared" ca="1" si="214"/>
        <v>54.166666666666664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27" t="s">
        <v>17</v>
      </c>
      <c r="E419" s="928"/>
      <c r="F419" s="928"/>
      <c r="G419" s="151"/>
      <c r="H419" s="275" t="s">
        <v>12</v>
      </c>
      <c r="I419" s="153"/>
      <c r="J419" s="153"/>
      <c r="K419" s="154"/>
      <c r="L419" s="155">
        <f t="shared" ref="L419:N419" ca="1" si="216">L420+L421</f>
        <v>2277950</v>
      </c>
      <c r="M419" s="155">
        <f t="shared" si="216"/>
        <v>0</v>
      </c>
      <c r="N419" s="155">
        <f t="shared" ca="1" si="216"/>
        <v>1064475</v>
      </c>
      <c r="O419" s="155">
        <f t="shared" ref="O419:O424" ca="1" si="217">IF(L419&gt;0,N419*100/L419,0)</f>
        <v>46.729515573212758</v>
      </c>
      <c r="P419" s="155">
        <f t="shared" ref="P419:P424" si="218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9">L423+L430</f>
        <v>0</v>
      </c>
      <c r="M420" s="45">
        <f t="shared" si="219"/>
        <v>0</v>
      </c>
      <c r="N420" s="45">
        <f t="shared" si="219"/>
        <v>0</v>
      </c>
      <c r="O420" s="45">
        <f t="shared" si="217"/>
        <v>0</v>
      </c>
      <c r="P420" s="45">
        <f t="shared" si="218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20">L424+L431</f>
        <v>2277950</v>
      </c>
      <c r="M421" s="45">
        <f t="shared" si="220"/>
        <v>0</v>
      </c>
      <c r="N421" s="45">
        <f t="shared" ca="1" si="220"/>
        <v>1064475</v>
      </c>
      <c r="O421" s="45">
        <f t="shared" ca="1" si="217"/>
        <v>46.729515573212758</v>
      </c>
      <c r="P421" s="45">
        <f t="shared" si="218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1">L423+L424</f>
        <v>2277950</v>
      </c>
      <c r="M422" s="38">
        <f t="shared" si="221"/>
        <v>0</v>
      </c>
      <c r="N422" s="38">
        <f t="shared" ca="1" si="221"/>
        <v>1064475</v>
      </c>
      <c r="O422" s="38">
        <f t="shared" ca="1" si="217"/>
        <v>46.729515573212758</v>
      </c>
      <c r="P422" s="38">
        <f t="shared" si="218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7"/>
        <v>0</v>
      </c>
      <c r="P423" s="45">
        <f t="shared" si="218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xicF4apzSqm0-jIpmueT4kyZtE-Cwn5zskl7GD4loQ/edit?usp=share_link"",""กำแพงเพชร!l424"")+IMPORTRANGE(""https://docs.google.com/spreadsheets/d/1ZNYWeiFoFA1K1U4xKWqRX29MBvEyRHXORjo734Gnq_c/edit?usp=share_li"&amp;"nk"",""เชียงราย!l424"")
+IMPORTRANGE(""https://docs.google.com/spreadsheets/d/1Jgv0Y7YlHDtsiDawwp-uvifEJ8HVaSn0k2aGHG8-hwM/edit?usp=share_link"",""เชียงใหม่!l424"")+IMPORTRANGE(""https://docs.google.com/spreadsheets/d/1JWG2rZePOz9pe-f-ObA-yDr0VoOX2kSb0qIi"&amp;"x2mTUo8/edit?usp=share_link"",""ตาก!l424"")+IMPORTRANGE(""https://docs.google.com/spreadsheets/d/10nSRjK08hx8Y6HgSOQKNw81lyY46Zc7U_Cj72hBMp9U/edit?usp=share_link"",""นครสวรรค์!l424"")+IMPORTRANGE(""https://docs.google.com/spreadsheets/d/1gFVb7qd7amutrIxAA"&amp;"oM7lcy35hllxznovot8lyOfvDo/edit?usp=share_link"",""น่าน!l424"")+IMPORTRANGE(""https://docs.google.com/spreadsheets/d/1K0Aa9s-6EuHE5M0FG1F9aHLXRCOV917xvycTdLdct0w/edit?usp=share_link"",""พะเยา!l424"")+IMPORTRANGE(""https://docs.google.com/spreadsheets/d/1Y"&amp;"9LPKx95PyL5OKy09d-KbKJSuuEZCFdkhYjwC0XQjBA/edit?usp=share_link"",""พิจิตร!l424"")+IMPORTRANGE(""https://docs.google.com/spreadsheets/d/16OMuOwy2eVqZcYWOouQtTpa8X1L23h4660uVHc0C8os/edit?usp=share_link"",""พิษณุโลก!l424"")+IMPORTRANGE(""https://docs.google."&amp;"com/spreadsheets/d/1GfgTldLG6k77HXaMQzaafODklYuucJZQNs_GAPEfZyY/edit?usp=share_link"",""เพชรบูรณ์!l424"")+IMPORTRANGE(""https://docs.google.com/spreadsheets/d/1gvTMYAnm7v1yG1BKWFtr0DnaTsq59oW9dwWvFgq6hs0/edit?usp=share_link"",""แพร่!l424"")+IMPORTRANGE("""&amp;"https://docs.google.com/spreadsheets/d/1Wbcosgy-Xa1xXUArJSOenub6EfZHUSzc_bpJFWwQUf0/edit?usp=share_link"",""แม่ฮ่องสอน!l424"")+IMPORTRANGE(""https://docs.google.com/spreadsheets/d/1p7ERhsr0qZeSn-KSOdeHS9r0heI-lHtkcn2OH7hP0jQ/edit?usp=share_link"",""ลำปาง!"&amp;"l424"")+IMPORTRANGE(""https://docs.google.com/spreadsheets/d/1-uUXvimVhiU2U0bMN-xi2te0tS4X7DI2GLPnMjzl8cA/edit?usp=share_link"",""ลำพูน!l424"")+IMPORTRANGE(""https://docs.google.com/spreadsheets/d/17HrOaa5pBUI1onckFfumXB8xlg35qb2uBAFfF1D-Myo/edit?usp=shar"&amp;"e_link"",""สุโขทัย!l424"")+IMPORTRANGE(""https://docs.google.com/spreadsheets/d/1ubs5cl16eYL9gHbdHTJtmtYb9MGzHBs7CAphn8kNCgM/edit?usp=share_link"",""อุตรดิตถ์!l424"")+IMPORTRANGE(""https://docs.google.com/spreadsheets/d/1kII0BjS6CtVrBvI8IrytgPdxDrlyQDyigz"&amp;"MsohRtDMs/edit?usp=share_link"",""อุทัยธานี!l424"")
"),2277950)</f>
        <v>2277950</v>
      </c>
      <c r="M424" s="93">
        <v>0</v>
      </c>
      <c r="N424" s="45">
        <f ca="1">N425+N426+N427+N428</f>
        <v>1064475</v>
      </c>
      <c r="O424" s="45">
        <f t="shared" ca="1" si="217"/>
        <v>46.729515573212758</v>
      </c>
      <c r="P424" s="45">
        <f t="shared" si="218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540"/>
      <c r="D425" s="540"/>
      <c r="E425" s="540"/>
      <c r="F425" s="541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xicF4apzSqm0-jIpmueT4kyZtE-Cwn5zskl7GD4loQ/edit?usp=share_link"",""กำแพงเพชร!n425"")+IMPORTRANGE(""https://docs.google.com/spreadsheets/d/1ZNYWeiFoFA1K1U4xKWqRX29MBvEyRHXORjo734Gnq_c/edit?usp=share_li"&amp;"nk"",""เชียงราย!n425"")
+IMPORTRANGE(""https://docs.google.com/spreadsheets/d/1Jgv0Y7YlHDtsiDawwp-uvifEJ8HVaSn0k2aGHG8-hwM/edit?usp=share_link"",""เชียงใหม่!n425"")+IMPORTRANGE(""https://docs.google.com/spreadsheets/d/1JWG2rZePOz9pe-f-ObA-yDr0VoOX2kSb0qIi"&amp;"x2mTUo8/edit?usp=share_link"",""ตาก!n425"")+IMPORTRANGE(""https://docs.google.com/spreadsheets/d/10nSRjK08hx8Y6HgSOQKNw81lyY46Zc7U_Cj72hBMp9U/edit?usp=share_link"",""นครสวรรค์!n425"")+IMPORTRANGE(""https://docs.google.com/spreadsheets/d/1gFVb7qd7amutrIxAA"&amp;"oM7lcy35hllxznovot8lyOfvDo/edit?usp=share_link"",""น่าน!n425"")+IMPORTRANGE(""https://docs.google.com/spreadsheets/d/1K0Aa9s-6EuHE5M0FG1F9aHLXRCOV917xvycTdLdct0w/edit?usp=share_link"",""พะเยา!n425"")+IMPORTRANGE(""https://docs.google.com/spreadsheets/d/1Y"&amp;"9LPKx95PyL5OKy09d-KbKJSuuEZCFdkhYjwC0XQjBA/edit?usp=share_link"",""พิจิตร!n425"")+IMPORTRANGE(""https://docs.google.com/spreadsheets/d/16OMuOwy2eVqZcYWOouQtTpa8X1L23h4660uVHc0C8os/edit?usp=share_link"",""พิษณุโลก!n425"")+IMPORTRANGE(""https://docs.google."&amp;"com/spreadsheets/d/1GfgTldLG6k77HXaMQzaafODklYuucJZQNs_GAPEfZyY/edit?usp=share_link"",""เพชรบูรณ์!n425"")+IMPORTRANGE(""https://docs.google.com/spreadsheets/d/1gvTMYAnm7v1yG1BKWFtr0DnaTsq59oW9dwWvFgq6hs0/edit?usp=share_link"",""แพร่!n425"")+IMPORTRANGE("""&amp;"https://docs.google.com/spreadsheets/d/1Wbcosgy-Xa1xXUArJSOenub6EfZHUSzc_bpJFWwQUf0/edit?usp=share_link"",""แม่ฮ่องสอน!n425"")+IMPORTRANGE(""https://docs.google.com/spreadsheets/d/1p7ERhsr0qZeSn-KSOdeHS9r0heI-lHtkcn2OH7hP0jQ/edit?usp=share_link"",""ลำปาง!"&amp;"n425"")+IMPORTRANGE(""https://docs.google.com/spreadsheets/d/1-uUXvimVhiU2U0bMN-xi2te0tS4X7DI2GLPnMjzl8cA/edit?usp=share_link"",""ลำพูน!n425"")+IMPORTRANGE(""https://docs.google.com/spreadsheets/d/17HrOaa5pBUI1onckFfumXB8xlg35qb2uBAFfF1D-Myo/edit?usp=shar"&amp;"e_link"",""สุโขทัย!n425"")+IMPORTRANGE(""https://docs.google.com/spreadsheets/d/1ubs5cl16eYL9gHbdHTJtmtYb9MGzHBs7CAphn8kNCgM/edit?usp=share_link"",""อุตรดิตถ์!n425"")+IMPORTRANGE(""https://docs.google.com/spreadsheets/d/1kII0BjS6CtVrBvI8IrytgPdxDrlyQDyigz"&amp;"MsohRtDMs/edit?usp=share_link"",""อุทัยธานี!n425"")
"),877238)</f>
        <v>877238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540"/>
      <c r="D426" s="540"/>
      <c r="E426" s="540"/>
      <c r="F426" s="541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xicF4apzSqm0-jIpmueT4kyZtE-Cwn5zskl7GD4loQ/edit?usp=share_link"",""กำแพงเพชร!n426"")+IMPORTRANGE(""https://docs.google.com/spreadsheets/d/1ZNYWeiFoFA1K1U4xKWqRX29MBvEyRHXORjo734Gnq_c/edit?usp=share_li"&amp;"nk"",""เชียงราย!n426"")
+IMPORTRANGE(""https://docs.google.com/spreadsheets/d/1Jgv0Y7YlHDtsiDawwp-uvifEJ8HVaSn0k2aGHG8-hwM/edit?usp=share_link"",""เชียงใหม่!n426"")+IMPORTRANGE(""https://docs.google.com/spreadsheets/d/1JWG2rZePOz9pe-f-ObA-yDr0VoOX2kSb0qIi"&amp;"x2mTUo8/edit?usp=share_link"",""ตาก!n426"")+IMPORTRANGE(""https://docs.google.com/spreadsheets/d/10nSRjK08hx8Y6HgSOQKNw81lyY46Zc7U_Cj72hBMp9U/edit?usp=share_link"",""นครสวรรค์!n426"")+IMPORTRANGE(""https://docs.google.com/spreadsheets/d/1gFVb7qd7amutrIxAA"&amp;"oM7lcy35hllxznovot8lyOfvDo/edit?usp=share_link"",""น่าน!n426"")+IMPORTRANGE(""https://docs.google.com/spreadsheets/d/1K0Aa9s-6EuHE5M0FG1F9aHLXRCOV917xvycTdLdct0w/edit?usp=share_link"",""พะเยา!n426"")+IMPORTRANGE(""https://docs.google.com/spreadsheets/d/1Y"&amp;"9LPKx95PyL5OKy09d-KbKJSuuEZCFdkhYjwC0XQjBA/edit?usp=share_link"",""พิจิตร!n426"")+IMPORTRANGE(""https://docs.google.com/spreadsheets/d/16OMuOwy2eVqZcYWOouQtTpa8X1L23h4660uVHc0C8os/edit?usp=share_link"",""พิษณุโลก!n426"")+IMPORTRANGE(""https://docs.google."&amp;"com/spreadsheets/d/1GfgTldLG6k77HXaMQzaafODklYuucJZQNs_GAPEfZyY/edit?usp=share_link"",""เพชรบูรณ์!n426"")+IMPORTRANGE(""https://docs.google.com/spreadsheets/d/1gvTMYAnm7v1yG1BKWFtr0DnaTsq59oW9dwWvFgq6hs0/edit?usp=share_link"",""แพร่!n426"")+IMPORTRANGE("""&amp;"https://docs.google.com/spreadsheets/d/1Wbcosgy-Xa1xXUArJSOenub6EfZHUSzc_bpJFWwQUf0/edit?usp=share_link"",""แม่ฮ่องสอน!n426"")+IMPORTRANGE(""https://docs.google.com/spreadsheets/d/1p7ERhsr0qZeSn-KSOdeHS9r0heI-lHtkcn2OH7hP0jQ/edit?usp=share_link"",""ลำปาง!"&amp;"n426"")+IMPORTRANGE(""https://docs.google.com/spreadsheets/d/1-uUXvimVhiU2U0bMN-xi2te0tS4X7DI2GLPnMjzl8cA/edit?usp=share_link"",""ลำพูน!n426"")+IMPORTRANGE(""https://docs.google.com/spreadsheets/d/17HrOaa5pBUI1onckFfumXB8xlg35qb2uBAFfF1D-Myo/edit?usp=shar"&amp;"e_link"",""สุโขทัย!n426"")+IMPORTRANGE(""https://docs.google.com/spreadsheets/d/1ubs5cl16eYL9gHbdHTJtmtYb9MGzHBs7CAphn8kNCgM/edit?usp=share_link"",""อุตรดิตถ์!n426"")+IMPORTRANGE(""https://docs.google.com/spreadsheets/d/1kII0BjS6CtVrBvI8IrytgPdxDrlyQDyigz"&amp;"MsohRtDMs/edit?usp=share_link"",""อุทัยธานี!n426"")
"),870)</f>
        <v>870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540"/>
      <c r="D427" s="540"/>
      <c r="E427" s="540"/>
      <c r="F427" s="541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xicF4apzSqm0-jIpmueT4kyZtE-Cwn5zskl7GD4loQ/edit?usp=share_link"",""กำแพงเพชร!n427"")+IMPORTRANGE(""https://docs.google.com/spreadsheets/d/1ZNYWeiFoFA1K1U4xKWqRX29MBvEyRHXORjo734Gnq_c/edit?usp=share_li"&amp;"nk"",""เชียงราย!n427"")
+IMPORTRANGE(""https://docs.google.com/spreadsheets/d/1Jgv0Y7YlHDtsiDawwp-uvifEJ8HVaSn0k2aGHG8-hwM/edit?usp=share_link"",""เชียงใหม่!n427"")+IMPORTRANGE(""https://docs.google.com/spreadsheets/d/1JWG2rZePOz9pe-f-ObA-yDr0VoOX2kSb0qIi"&amp;"x2mTUo8/edit?usp=share_link"",""ตาก!n427"")+IMPORTRANGE(""https://docs.google.com/spreadsheets/d/10nSRjK08hx8Y6HgSOQKNw81lyY46Zc7U_Cj72hBMp9U/edit?usp=share_link"",""นครสวรรค์!n427"")+IMPORTRANGE(""https://docs.google.com/spreadsheets/d/1gFVb7qd7amutrIxAA"&amp;"oM7lcy35hllxznovot8lyOfvDo/edit?usp=share_link"",""น่าน!n427"")+IMPORTRANGE(""https://docs.google.com/spreadsheets/d/1K0Aa9s-6EuHE5M0FG1F9aHLXRCOV917xvycTdLdct0w/edit?usp=share_link"",""พะเยา!n427"")+IMPORTRANGE(""https://docs.google.com/spreadsheets/d/1Y"&amp;"9LPKx95PyL5OKy09d-KbKJSuuEZCFdkhYjwC0XQjBA/edit?usp=share_link"",""พิจิตร!n427"")+IMPORTRANGE(""https://docs.google.com/spreadsheets/d/16OMuOwy2eVqZcYWOouQtTpa8X1L23h4660uVHc0C8os/edit?usp=share_link"",""พิษณุโลก!n427"")+IMPORTRANGE(""https://docs.google."&amp;"com/spreadsheets/d/1GfgTldLG6k77HXaMQzaafODklYuucJZQNs_GAPEfZyY/edit?usp=share_link"",""เพชรบูรณ์!n427"")+IMPORTRANGE(""https://docs.google.com/spreadsheets/d/1gvTMYAnm7v1yG1BKWFtr0DnaTsq59oW9dwWvFgq6hs0/edit?usp=share_link"",""แพร่!n427"")+IMPORTRANGE("""&amp;"https://docs.google.com/spreadsheets/d/1Wbcosgy-Xa1xXUArJSOenub6EfZHUSzc_bpJFWwQUf0/edit?usp=share_link"",""แม่ฮ่องสอน!n427"")+IMPORTRANGE(""https://docs.google.com/spreadsheets/d/1p7ERhsr0qZeSn-KSOdeHS9r0heI-lHtkcn2OH7hP0jQ/edit?usp=share_link"",""ลำปาง!"&amp;"n427"")+IMPORTRANGE(""https://docs.google.com/spreadsheets/d/1-uUXvimVhiU2U0bMN-xi2te0tS4X7DI2GLPnMjzl8cA/edit?usp=share_link"",""ลำพูน!n427"")+IMPORTRANGE(""https://docs.google.com/spreadsheets/d/17HrOaa5pBUI1onckFfumXB8xlg35qb2uBAFfF1D-Myo/edit?usp=shar"&amp;"e_link"",""สุโขทัย!n427"")+IMPORTRANGE(""https://docs.google.com/spreadsheets/d/1ubs5cl16eYL9gHbdHTJtmtYb9MGzHBs7CAphn8kNCgM/edit?usp=share_link"",""อุตรดิตถ์!n427"")+IMPORTRANGE(""https://docs.google.com/spreadsheets/d/1kII0BjS6CtVrBvI8IrytgPdxDrlyQDyigz"&amp;"MsohRtDMs/edit?usp=share_link"",""อุทัยธานี!n427"")
"),0)</f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12" t="s">
        <v>189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xicF4apzSqm0-jIpmueT4kyZtE-Cwn5zskl7GD4loQ/edit?usp=share_link"",""กำแพงเพชร!n428"")+IMPORTRANGE(""https://docs.google.com/spreadsheets/d/1ZNYWeiFoFA1K1U4xKWqRX29MBvEyRHXORjo734Gnq_c/edit?usp=share_li"&amp;"nk"",""เชียงราย!n428"")
+IMPORTRANGE(""https://docs.google.com/spreadsheets/d/1Jgv0Y7YlHDtsiDawwp-uvifEJ8HVaSn0k2aGHG8-hwM/edit?usp=share_link"",""เชียงใหม่!n428"")+IMPORTRANGE(""https://docs.google.com/spreadsheets/d/1JWG2rZePOz9pe-f-ObA-yDr0VoOX2kSb0qIi"&amp;"x2mTUo8/edit?usp=share_link"",""ตาก!n428"")+IMPORTRANGE(""https://docs.google.com/spreadsheets/d/10nSRjK08hx8Y6HgSOQKNw81lyY46Zc7U_Cj72hBMp9U/edit?usp=share_link"",""นครสวรรค์!n428"")+IMPORTRANGE(""https://docs.google.com/spreadsheets/d/1gFVb7qd7amutrIxAA"&amp;"oM7lcy35hllxznovot8lyOfvDo/edit?usp=share_link"",""น่าน!n428"")+IMPORTRANGE(""https://docs.google.com/spreadsheets/d/1K0Aa9s-6EuHE5M0FG1F9aHLXRCOV917xvycTdLdct0w/edit?usp=share_link"",""พะเยา!n428"")+IMPORTRANGE(""https://docs.google.com/spreadsheets/d/1Y"&amp;"9LPKx95PyL5OKy09d-KbKJSuuEZCFdkhYjwC0XQjBA/edit?usp=share_link"",""พิจิตร!n428"")+IMPORTRANGE(""https://docs.google.com/spreadsheets/d/16OMuOwy2eVqZcYWOouQtTpa8X1L23h4660uVHc0C8os/edit?usp=share_link"",""พิษณุโลก!n428"")+IMPORTRANGE(""https://docs.google."&amp;"com/spreadsheets/d/1GfgTldLG6k77HXaMQzaafODklYuucJZQNs_GAPEfZyY/edit?usp=share_link"",""เพชรบูรณ์!n428"")+IMPORTRANGE(""https://docs.google.com/spreadsheets/d/1gvTMYAnm7v1yG1BKWFtr0DnaTsq59oW9dwWvFgq6hs0/edit?usp=share_link"",""แพร่!n428"")+IMPORTRANGE("""&amp;"https://docs.google.com/spreadsheets/d/1Wbcosgy-Xa1xXUArJSOenub6EfZHUSzc_bpJFWwQUf0/edit?usp=share_link"",""แม่ฮ่องสอน!n428"")+IMPORTRANGE(""https://docs.google.com/spreadsheets/d/1p7ERhsr0qZeSn-KSOdeHS9r0heI-lHtkcn2OH7hP0jQ/edit?usp=share_link"",""ลำปาง!"&amp;"n428"")+IMPORTRANGE(""https://docs.google.com/spreadsheets/d/1-uUXvimVhiU2U0bMN-xi2te0tS4X7DI2GLPnMjzl8cA/edit?usp=share_link"",""ลำพูน!n428"")+IMPORTRANGE(""https://docs.google.com/spreadsheets/d/17HrOaa5pBUI1onckFfumXB8xlg35qb2uBAFfF1D-Myo/edit?usp=shar"&amp;"e_link"",""สุโขทัย!n428"")+IMPORTRANGE(""https://docs.google.com/spreadsheets/d/1ubs5cl16eYL9gHbdHTJtmtYb9MGzHBs7CAphn8kNCgM/edit?usp=share_link"",""อุตรดิตถ์!n428"")+IMPORTRANGE(""https://docs.google.com/spreadsheets/d/1kII0BjS6CtVrBvI8IrytgPdxDrlyQDyigz"&amp;"MsohRtDMs/edit?usp=share_link"",""อุทัยธานี!n428"")
"),186367)</f>
        <v>186367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2">L430+L431</f>
        <v>0</v>
      </c>
      <c r="M429" s="38">
        <f t="shared" si="222"/>
        <v>0</v>
      </c>
      <c r="N429" s="38">
        <f t="shared" si="222"/>
        <v>0</v>
      </c>
      <c r="O429" s="38">
        <f t="shared" ref="O429:O431" ca="1" si="223">IF(L429&gt;0,N429*100/L429,0)</f>
        <v>0</v>
      </c>
      <c r="P429" s="38">
        <f t="shared" ref="P429:P431" si="224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3"/>
        <v>0</v>
      </c>
      <c r="P430" s="45">
        <f t="shared" si="224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xicF4apzSqm0-jIpmueT4kyZtE-Cwn5zskl7GD4loQ/edit?usp=share_link"",""กำแพงเพชร!l431"")+IMPORTRANGE(""https://docs.google.com/spreadsheets/d/1ZNYWeiFoFA1K1U4xKWqRX29MBvEyRHXORjo734Gnq_c/edit?usp=share_li"&amp;"nk"",""เชียงราย!l431"")
+IMPORTRANGE(""https://docs.google.com/spreadsheets/d/1Jgv0Y7YlHDtsiDawwp-uvifEJ8HVaSn0k2aGHG8-hwM/edit?usp=share_link"",""เชียงใหม่!l431"")+IMPORTRANGE(""https://docs.google.com/spreadsheets/d/1JWG2rZePOz9pe-f-ObA-yDr0VoOX2kSb0qIi"&amp;"x2mTUo8/edit?usp=share_link"",""ตาก!l431"")+IMPORTRANGE(""https://docs.google.com/spreadsheets/d/10nSRjK08hx8Y6HgSOQKNw81lyY46Zc7U_Cj72hBMp9U/edit?usp=share_link"",""นครสวรรค์!l431"")+IMPORTRANGE(""https://docs.google.com/spreadsheets/d/1gFVb7qd7amutrIxAA"&amp;"oM7lcy35hllxznovot8lyOfvDo/edit?usp=share_link"",""น่าน!l431"")+IMPORTRANGE(""https://docs.google.com/spreadsheets/d/1K0Aa9s-6EuHE5M0FG1F9aHLXRCOV917xvycTdLdct0w/edit?usp=share_link"",""พะเยา!l431"")+IMPORTRANGE(""https://docs.google.com/spreadsheets/d/1Y"&amp;"9LPKx95PyL5OKy09d-KbKJSuuEZCFdkhYjwC0XQjBA/edit?usp=share_link"",""พิจิตร!l431"")+IMPORTRANGE(""https://docs.google.com/spreadsheets/d/16OMuOwy2eVqZcYWOouQtTpa8X1L23h4660uVHc0C8os/edit?usp=share_link"",""พิษณุโลก!l431"")+IMPORTRANGE(""https://docs.google."&amp;"com/spreadsheets/d/1GfgTldLG6k77HXaMQzaafODklYuucJZQNs_GAPEfZyY/edit?usp=share_link"",""เพชรบูรณ์!l431"")+IMPORTRANGE(""https://docs.google.com/spreadsheets/d/1gvTMYAnm7v1yG1BKWFtr0DnaTsq59oW9dwWvFgq6hs0/edit?usp=share_link"",""แพร่!l431"")+IMPORTRANGE("""&amp;"https://docs.google.com/spreadsheets/d/1Wbcosgy-Xa1xXUArJSOenub6EfZHUSzc_bpJFWwQUf0/edit?usp=share_link"",""แม่ฮ่องสอน!l431"")+IMPORTRANGE(""https://docs.google.com/spreadsheets/d/1p7ERhsr0qZeSn-KSOdeHS9r0heI-lHtkcn2OH7hP0jQ/edit?usp=share_link"",""ลำปาง!"&amp;"l431"")+IMPORTRANGE(""https://docs.google.com/spreadsheets/d/1-uUXvimVhiU2U0bMN-xi2te0tS4X7DI2GLPnMjzl8cA/edit?usp=share_link"",""ลำพูน!l431"")+IMPORTRANGE(""https://docs.google.com/spreadsheets/d/17HrOaa5pBUI1onckFfumXB8xlg35qb2uBAFfF1D-Myo/edit?usp=shar"&amp;"e_link"",""สุโขทัย!l431"")+IMPORTRANGE(""https://docs.google.com/spreadsheets/d/1ubs5cl16eYL9gHbdHTJtmtYb9MGzHBs7CAphn8kNCgM/edit?usp=share_link"",""อุตรดิตถ์!l431"")+IMPORTRANGE(""https://docs.google.com/spreadsheets/d/1kII0BjS6CtVrBvI8IrytgPdxDrlyQDyigz"&amp;"MsohRtDMs/edit?usp=share_link"",""อุทัยธานี!l431"")
"),0)</f>
        <v>0</v>
      </c>
      <c r="M431" s="93">
        <v>0</v>
      </c>
      <c r="N431" s="93">
        <v>0</v>
      </c>
      <c r="O431" s="45">
        <f t="shared" ca="1" si="223"/>
        <v>0</v>
      </c>
      <c r="P431" s="45">
        <f t="shared" si="224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544" t="s">
        <v>38</v>
      </c>
      <c r="E432" s="545"/>
      <c r="F432" s="545"/>
      <c r="G432" s="546"/>
      <c r="H432" s="54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630</v>
      </c>
      <c r="J433" s="194">
        <f ca="1">IFERROR(__xludf.DUMMYFUNCTION("IMPORTRANGE(""https://docs.google.com/spreadsheets/d/1KxicF4apzSqm0-jIpmueT4kyZtE-Cwn5zskl7GD4loQ/edit?usp=share_link"",""กำแพงเพชร!J433"")+IMPORTRANGE(""https://docs.google.com/spreadsheets/d/1ZNYWeiFoFA1K1U4xKWqRX29MBvEyRHXORjo734Gnq_c/edit?usp=share_li"&amp;"nk"",""เชียงราย!J433"")
+IMPORTRANGE(""https://docs.google.com/spreadsheets/d/1Jgv0Y7YlHDtsiDawwp-uvifEJ8HVaSn0k2aGHG8-hwM/edit?usp=share_link"",""เชียงใหม่!J433"")+IMPORTRANGE(""https://docs.google.com/spreadsheets/d/1JWG2rZePOz9pe-f-ObA-yDr0VoOX2kSb0qIi"&amp;"x2mTUo8/edit?usp=share_link"",""ตาก!J433"")+IMPORTRANGE(""https://docs.google.com/spreadsheets/d/10nSRjK08hx8Y6HgSOQKNw81lyY46Zc7U_Cj72hBMp9U/edit?usp=share_link"",""นครสวรรค์!J433"")+IMPORTRANGE(""https://docs.google.com/spreadsheets/d/1gFVb7qd7amutrIxAA"&amp;"oM7lcy35hllxznovot8lyOfvDo/edit?usp=share_link"",""น่าน!J433"")+IMPORTRANGE(""https://docs.google.com/spreadsheets/d/1K0Aa9s-6EuHE5M0FG1F9aHLXRCOV917xvycTdLdct0w/edit?usp=share_link"",""พะเยา!J433"")+IMPORTRANGE(""https://docs.google.com/spreadsheets/d/1Y"&amp;"9LPKx95PyL5OKy09d-KbKJSuuEZCFdkhYjwC0XQjBA/edit?usp=share_link"",""พิจิตร!J433"")+IMPORTRANGE(""https://docs.google.com/spreadsheets/d/16OMuOwy2eVqZcYWOouQtTpa8X1L23h4660uVHc0C8os/edit?usp=share_link"",""พิษณุโลก!J433"")+IMPORTRANGE(""https://docs.google."&amp;"com/spreadsheets/d/1GfgTldLG6k77HXaMQzaafODklYuucJZQNs_GAPEfZyY/edit?usp=share_link"",""เพชรบูรณ์!J433"")+IMPORTRANGE(""https://docs.google.com/spreadsheets/d/1gvTMYAnm7v1yG1BKWFtr0DnaTsq59oW9dwWvFgq6hs0/edit?usp=share_link"",""แพร่!J433"")+IMPORTRANGE("""&amp;"https://docs.google.com/spreadsheets/d/1Wbcosgy-Xa1xXUArJSOenub6EfZHUSzc_bpJFWwQUf0/edit?usp=share_link"",""แม่ฮ่องสอน!J433"")+IMPORTRANGE(""https://docs.google.com/spreadsheets/d/1p7ERhsr0qZeSn-KSOdeHS9r0heI-lHtkcn2OH7hP0jQ/edit?usp=share_link"",""ลำปาง!"&amp;"J433"")+IMPORTRANGE(""https://docs.google.com/spreadsheets/d/1-uUXvimVhiU2U0bMN-xi2te0tS4X7DI2GLPnMjzl8cA/edit?usp=share_link"",""ลำพูน!J433"")+IMPORTRANGE(""https://docs.google.com/spreadsheets/d/17HrOaa5pBUI1onckFfumXB8xlg35qb2uBAFfF1D-Myo/edit?usp=shar"&amp;"e_link"",""สุโขทัย!J433"")+IMPORTRANGE(""https://docs.google.com/spreadsheets/d/1ubs5cl16eYL9gHbdHTJtmtYb9MGzHBs7CAphn8kNCgM/edit?usp=share_link"",""อุตรดิตถ์!J433"")+IMPORTRANGE(""https://docs.google.com/spreadsheets/d/1kII0BjS6CtVrBvI8IrytgPdxDrlyQDyigz"&amp;"MsohRtDMs/edit?usp=share_link"",""อุทัยธานี!J433"")
"),270)</f>
        <v>270</v>
      </c>
      <c r="K433" s="195">
        <f t="shared" ref="K433:K435" ca="1" si="225">IF(I433&gt;0,J433*100/I433,0)</f>
        <v>42.857142857142854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6">I438+I440</f>
        <v>24</v>
      </c>
      <c r="J434" s="194">
        <f t="shared" ca="1" si="226"/>
        <v>13</v>
      </c>
      <c r="K434" s="195">
        <f t="shared" ca="1" si="225"/>
        <v>54.166666666666664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48">
        <f ca="1">IFERROR(__xludf.DUMMYFUNCTION("IMPORTRANGE(""https://docs.google.com/spreadsheets/d/1KxicF4apzSqm0-jIpmueT4kyZtE-Cwn5zskl7GD4loQ/edit?usp=share_link"",""กำแพงเพชร!I435"")+IMPORTRANGE(""https://docs.google.com/spreadsheets/d/1ZNYWeiFoFA1K1U4xKWqRX29MBvEyRHXORjo734Gnq_c/edit?usp=share_li"&amp;"nk"",""เชียงราย!I435"")
+IMPORTRANGE(""https://docs.google.com/spreadsheets/d/1Jgv0Y7YlHDtsiDawwp-uvifEJ8HVaSn0k2aGHG8-hwM/edit?usp=share_link"",""เชียงใหม่!I435"")+IMPORTRANGE(""https://docs.google.com/spreadsheets/d/1JWG2rZePOz9pe-f-ObA-yDr0VoOX2kSb0qIi"&amp;"x2mTUo8/edit?usp=share_link"",""ตาก!I435"")+IMPORTRANGE(""https://docs.google.com/spreadsheets/d/10nSRjK08hx8Y6HgSOQKNw81lyY46Zc7U_Cj72hBMp9U/edit?usp=share_link"",""นครสวรรค์!I435"")+IMPORTRANGE(""https://docs.google.com/spreadsheets/d/1gFVb7qd7amutrIxAA"&amp;"oM7lcy35hllxznovot8lyOfvDo/edit?usp=share_link"",""น่าน!I435"")+IMPORTRANGE(""https://docs.google.com/spreadsheets/d/1K0Aa9s-6EuHE5M0FG1F9aHLXRCOV917xvycTdLdct0w/edit?usp=share_link"",""พะเยา!I435"")+IMPORTRANGE(""https://docs.google.com/spreadsheets/d/1Y"&amp;"9LPKx95PyL5OKy09d-KbKJSuuEZCFdkhYjwC0XQjBA/edit?usp=share_link"",""พิจิตร!I435"")+IMPORTRANGE(""https://docs.google.com/spreadsheets/d/16OMuOwy2eVqZcYWOouQtTpa8X1L23h4660uVHc0C8os/edit?usp=share_link"",""พิษณุโลก!I435"")+IMPORTRANGE(""https://docs.google."&amp;"com/spreadsheets/d/1GfgTldLG6k77HXaMQzaafODklYuucJZQNs_GAPEfZyY/edit?usp=share_link"",""เพชรบูรณ์!I435"")+IMPORTRANGE(""https://docs.google.com/spreadsheets/d/1gvTMYAnm7v1yG1BKWFtr0DnaTsq59oW9dwWvFgq6hs0/edit?usp=share_link"",""แพร่!I435"")+IMPORTRANGE("""&amp;"https://docs.google.com/spreadsheets/d/1Wbcosgy-Xa1xXUArJSOenub6EfZHUSzc_bpJFWwQUf0/edit?usp=share_link"",""แม่ฮ่องสอน!I435"")+IMPORTRANGE(""https://docs.google.com/spreadsheets/d/1p7ERhsr0qZeSn-KSOdeHS9r0heI-lHtkcn2OH7hP0jQ/edit?usp=share_link"",""ลำปาง!"&amp;"I435"")+IMPORTRANGE(""https://docs.google.com/spreadsheets/d/1-uUXvimVhiU2U0bMN-xi2te0tS4X7DI2GLPnMjzl8cA/edit?usp=share_link"",""ลำพูน!I435"")+IMPORTRANGE(""https://docs.google.com/spreadsheets/d/17HrOaa5pBUI1onckFfumXB8xlg35qb2uBAFfF1D-Myo/edit?usp=shar"&amp;"e_link"",""สุโขทัย!I435"")+IMPORTRANGE(""https://docs.google.com/spreadsheets/d/1ubs5cl16eYL9gHbdHTJtmtYb9MGzHBs7CAphn8kNCgM/edit?usp=share_link"",""อุตรดิตถ์!I435"")+IMPORTRANGE(""https://docs.google.com/spreadsheets/d/1kII0BjS6CtVrBvI8IrytgPdxDrlyQDyigz"&amp;"MsohRtDMs/edit?usp=share_link"",""อุทัยธานี!I435"")
"),630)</f>
        <v>630</v>
      </c>
      <c r="J435" s="549">
        <f ca="1">IFERROR(__xludf.DUMMYFUNCTION("IMPORTRANGE(""https://docs.google.com/spreadsheets/d/1KxicF4apzSqm0-jIpmueT4kyZtE-Cwn5zskl7GD4loQ/edit?usp=share_link"",""กำแพงเพชร!J435"")+IMPORTRANGE(""https://docs.google.com/spreadsheets/d/1ZNYWeiFoFA1K1U4xKWqRX29MBvEyRHXORjo734Gnq_c/edit?usp=share_li"&amp;"nk"",""เชียงราย!J435"")
+IMPORTRANGE(""https://docs.google.com/spreadsheets/d/1Jgv0Y7YlHDtsiDawwp-uvifEJ8HVaSn0k2aGHG8-hwM/edit?usp=share_link"",""เชียงใหม่!J435"")+IMPORTRANGE(""https://docs.google.com/spreadsheets/d/1JWG2rZePOz9pe-f-ObA-yDr0VoOX2kSb0qIi"&amp;"x2mTUo8/edit?usp=share_link"",""ตาก!J435"")+IMPORTRANGE(""https://docs.google.com/spreadsheets/d/10nSRjK08hx8Y6HgSOQKNw81lyY46Zc7U_Cj72hBMp9U/edit?usp=share_link"",""นครสวรรค์!J435"")+IMPORTRANGE(""https://docs.google.com/spreadsheets/d/1gFVb7qd7amutrIxAA"&amp;"oM7lcy35hllxznovot8lyOfvDo/edit?usp=share_link"",""น่าน!J435"")+IMPORTRANGE(""https://docs.google.com/spreadsheets/d/1K0Aa9s-6EuHE5M0FG1F9aHLXRCOV917xvycTdLdct0w/edit?usp=share_link"",""พะเยา!J435"")+IMPORTRANGE(""https://docs.google.com/spreadsheets/d/1Y"&amp;"9LPKx95PyL5OKy09d-KbKJSuuEZCFdkhYjwC0XQjBA/edit?usp=share_link"",""พิจิตร!J435"")+IMPORTRANGE(""https://docs.google.com/spreadsheets/d/16OMuOwy2eVqZcYWOouQtTpa8X1L23h4660uVHc0C8os/edit?usp=share_link"",""พิษณุโลก!J435"")+IMPORTRANGE(""https://docs.google."&amp;"com/spreadsheets/d/1GfgTldLG6k77HXaMQzaafODklYuucJZQNs_GAPEfZyY/edit?usp=share_link"",""เพชรบูรณ์!J435"")+IMPORTRANGE(""https://docs.google.com/spreadsheets/d/1gvTMYAnm7v1yG1BKWFtr0DnaTsq59oW9dwWvFgq6hs0/edit?usp=share_link"",""แพร่!J435"")+IMPORTRANGE("""&amp;"https://docs.google.com/spreadsheets/d/1Wbcosgy-Xa1xXUArJSOenub6EfZHUSzc_bpJFWwQUf0/edit?usp=share_link"",""แม่ฮ่องสอน!J435"")+IMPORTRANGE(""https://docs.google.com/spreadsheets/d/1p7ERhsr0qZeSn-KSOdeHS9r0heI-lHtkcn2OH7hP0jQ/edit?usp=share_link"",""ลำปาง!"&amp;"J435"")+IMPORTRANGE(""https://docs.google.com/spreadsheets/d/1-uUXvimVhiU2U0bMN-xi2te0tS4X7DI2GLPnMjzl8cA/edit?usp=share_link"",""ลำพูน!J435"")+IMPORTRANGE(""https://docs.google.com/spreadsheets/d/17HrOaa5pBUI1onckFfumXB8xlg35qb2uBAFfF1D-Myo/edit?usp=shar"&amp;"e_link"",""สุโขทัย!J435"")+IMPORTRANGE(""https://docs.google.com/spreadsheets/d/1ubs5cl16eYL9gHbdHTJtmtYb9MGzHBs7CAphn8kNCgM/edit?usp=share_link"",""อุตรดิตถ์!J435"")+IMPORTRANGE(""https://docs.google.com/spreadsheets/d/1kII0BjS6CtVrBvI8IrytgPdxDrlyQDyigz"&amp;"MsohRtDMs/edit?usp=share_link"",""อุทัยธานี!J435"")
"),440)</f>
        <v>440</v>
      </c>
      <c r="K435" s="466">
        <f t="shared" ca="1" si="225"/>
        <v>69.841269841269835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48">
        <f ca="1">IFERROR(__xludf.DUMMYFUNCTION("IMPORTRANGE(""https://docs.google.com/spreadsheets/d/1KxicF4apzSqm0-jIpmueT4kyZtE-Cwn5zskl7GD4loQ/edit?usp=share_link"",""กำแพงเพชร!I437"")+IMPORTRANGE(""https://docs.google.com/spreadsheets/d/1ZNYWeiFoFA1K1U4xKWqRX29MBvEyRHXORjo734Gnq_c/edit?usp=share_li"&amp;"nk"",""เชียงราย!I437"")
+IMPORTRANGE(""https://docs.google.com/spreadsheets/d/1Jgv0Y7YlHDtsiDawwp-uvifEJ8HVaSn0k2aGHG8-hwM/edit?usp=share_link"",""เชียงใหม่!I437"")+IMPORTRANGE(""https://docs.google.com/spreadsheets/d/1JWG2rZePOz9pe-f-ObA-yDr0VoOX2kSb0qIi"&amp;"x2mTUo8/edit?usp=share_link"",""ตาก!I437"")+IMPORTRANGE(""https://docs.google.com/spreadsheets/d/10nSRjK08hx8Y6HgSOQKNw81lyY46Zc7U_Cj72hBMp9U/edit?usp=share_link"",""นครสวรรค์!I437"")+IMPORTRANGE(""https://docs.google.com/spreadsheets/d/1gFVb7qd7amutrIxAA"&amp;"oM7lcy35hllxznovot8lyOfvDo/edit?usp=share_link"",""น่าน!I437"")+IMPORTRANGE(""https://docs.google.com/spreadsheets/d/1K0Aa9s-6EuHE5M0FG1F9aHLXRCOV917xvycTdLdct0w/edit?usp=share_link"",""พะเยา!I437"")+IMPORTRANGE(""https://docs.google.com/spreadsheets/d/1Y"&amp;"9LPKx95PyL5OKy09d-KbKJSuuEZCFdkhYjwC0XQjBA/edit?usp=share_link"",""พิจิตร!I437"")+IMPORTRANGE(""https://docs.google.com/spreadsheets/d/16OMuOwy2eVqZcYWOouQtTpa8X1L23h4660uVHc0C8os/edit?usp=share_link"",""พิษณุโลก!I437"")+IMPORTRANGE(""https://docs.google."&amp;"com/spreadsheets/d/1GfgTldLG6k77HXaMQzaafODklYuucJZQNs_GAPEfZyY/edit?usp=share_link"",""เพชรบูรณ์!I437"")+IMPORTRANGE(""https://docs.google.com/spreadsheets/d/1gvTMYAnm7v1yG1BKWFtr0DnaTsq59oW9dwWvFgq6hs0/edit?usp=share_link"",""แพร่!I437"")+IMPORTRANGE("""&amp;"https://docs.google.com/spreadsheets/d/1Wbcosgy-Xa1xXUArJSOenub6EfZHUSzc_bpJFWwQUf0/edit?usp=share_link"",""แม่ฮ่องสอน!I437"")+IMPORTRANGE(""https://docs.google.com/spreadsheets/d/1p7ERhsr0qZeSn-KSOdeHS9r0heI-lHtkcn2OH7hP0jQ/edit?usp=share_link"",""ลำปาง!"&amp;"I437"")+IMPORTRANGE(""https://docs.google.com/spreadsheets/d/1-uUXvimVhiU2U0bMN-xi2te0tS4X7DI2GLPnMjzl8cA/edit?usp=share_link"",""ลำพูน!I437"")+IMPORTRANGE(""https://docs.google.com/spreadsheets/d/17HrOaa5pBUI1onckFfumXB8xlg35qb2uBAFfF1D-Myo/edit?usp=shar"&amp;"e_link"",""สุโขทัย!I437"")+IMPORTRANGE(""https://docs.google.com/spreadsheets/d/1ubs5cl16eYL9gHbdHTJtmtYb9MGzHBs7CAphn8kNCgM/edit?usp=share_link"",""อุตรดิตถ์!I437"")+IMPORTRANGE(""https://docs.google.com/spreadsheets/d/1kII0BjS6CtVrBvI8IrytgPdxDrlyQDyigz"&amp;"MsohRtDMs/edit?usp=share_link"",""อุทัยธานี!I437"")
"),280)</f>
        <v>280</v>
      </c>
      <c r="J437" s="549">
        <f ca="1">IFERROR(__xludf.DUMMYFUNCTION("IMPORTRANGE(""https://docs.google.com/spreadsheets/d/1KxicF4apzSqm0-jIpmueT4kyZtE-Cwn5zskl7GD4loQ/edit?usp=share_link"",""กำแพงเพชร!J437"")+IMPORTRANGE(""https://docs.google.com/spreadsheets/d/1ZNYWeiFoFA1K1U4xKWqRX29MBvEyRHXORjo734Gnq_c/edit?usp=share_li"&amp;"nk"",""เชียงราย!J437"")
+IMPORTRANGE(""https://docs.google.com/spreadsheets/d/1Jgv0Y7YlHDtsiDawwp-uvifEJ8HVaSn0k2aGHG8-hwM/edit?usp=share_link"",""เชียงใหม่!J437"")+IMPORTRANGE(""https://docs.google.com/spreadsheets/d/1JWG2rZePOz9pe-f-ObA-yDr0VoOX2kSb0qIi"&amp;"x2mTUo8/edit?usp=share_link"",""ตาก!J437"")+IMPORTRANGE(""https://docs.google.com/spreadsheets/d/10nSRjK08hx8Y6HgSOQKNw81lyY46Zc7U_Cj72hBMp9U/edit?usp=share_link"",""นครสวรรค์!J437"")+IMPORTRANGE(""https://docs.google.com/spreadsheets/d/1gFVb7qd7amutrIxAA"&amp;"oM7lcy35hllxznovot8lyOfvDo/edit?usp=share_link"",""น่าน!J437"")+IMPORTRANGE(""https://docs.google.com/spreadsheets/d/1K0Aa9s-6EuHE5M0FG1F9aHLXRCOV917xvycTdLdct0w/edit?usp=share_link"",""พะเยา!J437"")+IMPORTRANGE(""https://docs.google.com/spreadsheets/d/1Y"&amp;"9LPKx95PyL5OKy09d-KbKJSuuEZCFdkhYjwC0XQjBA/edit?usp=share_link"",""พิจิตร!J437"")+IMPORTRANGE(""https://docs.google.com/spreadsheets/d/16OMuOwy2eVqZcYWOouQtTpa8X1L23h4660uVHc0C8os/edit?usp=share_link"",""พิษณุโลก!J437"")+IMPORTRANGE(""https://docs.google."&amp;"com/spreadsheets/d/1GfgTldLG6k77HXaMQzaafODklYuucJZQNs_GAPEfZyY/edit?usp=share_link"",""เพชรบูรณ์!J437"")+IMPORTRANGE(""https://docs.google.com/spreadsheets/d/1gvTMYAnm7v1yG1BKWFtr0DnaTsq59oW9dwWvFgq6hs0/edit?usp=share_link"",""แพร่!J437"")+IMPORTRANGE("""&amp;"https://docs.google.com/spreadsheets/d/1Wbcosgy-Xa1xXUArJSOenub6EfZHUSzc_bpJFWwQUf0/edit?usp=share_link"",""แม่ฮ่องสอน!J437"")+IMPORTRANGE(""https://docs.google.com/spreadsheets/d/1p7ERhsr0qZeSn-KSOdeHS9r0heI-lHtkcn2OH7hP0jQ/edit?usp=share_link"",""ลำปาง!"&amp;"J437"")+IMPORTRANGE(""https://docs.google.com/spreadsheets/d/1-uUXvimVhiU2U0bMN-xi2te0tS4X7DI2GLPnMjzl8cA/edit?usp=share_link"",""ลำพูน!J437"")+IMPORTRANGE(""https://docs.google.com/spreadsheets/d/17HrOaa5pBUI1onckFfumXB8xlg35qb2uBAFfF1D-Myo/edit?usp=shar"&amp;"e_link"",""สุโขทัย!J437"")+IMPORTRANGE(""https://docs.google.com/spreadsheets/d/1ubs5cl16eYL9gHbdHTJtmtYb9MGzHBs7CAphn8kNCgM/edit?usp=share_link"",""อุตรดิตถ์!J437"")+IMPORTRANGE(""https://docs.google.com/spreadsheets/d/1kII0BjS6CtVrBvI8IrytgPdxDrlyQDyigz"&amp;"MsohRtDMs/edit?usp=share_link"",""อุทัยธานี!J437"")
"),112)</f>
        <v>112</v>
      </c>
      <c r="K437" s="466">
        <f t="shared" ref="K437:K443" ca="1" si="227">IF(I437&gt;0,J437*100/I437,0)</f>
        <v>40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xicF4apzSqm0-jIpmueT4kyZtE-Cwn5zskl7GD4loQ/edit?usp=share_link"",""กำแพงเพชร!I438"")+IMPORTRANGE(""https://docs.google.com/spreadsheets/d/1ZNYWeiFoFA1K1U4xKWqRX29MBvEyRHXORjo734Gnq_c/edit?usp=share_li"&amp;"nk"",""เชียงราย!I438"")
+IMPORTRANGE(""https://docs.google.com/spreadsheets/d/1Jgv0Y7YlHDtsiDawwp-uvifEJ8HVaSn0k2aGHG8-hwM/edit?usp=share_link"",""เชียงใหม่!I438"")+IMPORTRANGE(""https://docs.google.com/spreadsheets/d/1JWG2rZePOz9pe-f-ObA-yDr0VoOX2kSb0qIi"&amp;"x2mTUo8/edit?usp=share_link"",""ตาก!I438"")+IMPORTRANGE(""https://docs.google.com/spreadsheets/d/10nSRjK08hx8Y6HgSOQKNw81lyY46Zc7U_Cj72hBMp9U/edit?usp=share_link"",""นครสวรรค์!I438"")+IMPORTRANGE(""https://docs.google.com/spreadsheets/d/1gFVb7qd7amutrIxAA"&amp;"oM7lcy35hllxznovot8lyOfvDo/edit?usp=share_link"",""น่าน!I438"")+IMPORTRANGE(""https://docs.google.com/spreadsheets/d/1K0Aa9s-6EuHE5M0FG1F9aHLXRCOV917xvycTdLdct0w/edit?usp=share_link"",""พะเยา!I438"")+IMPORTRANGE(""https://docs.google.com/spreadsheets/d/1Y"&amp;"9LPKx95PyL5OKy09d-KbKJSuuEZCFdkhYjwC0XQjBA/edit?usp=share_link"",""พิจิตร!I438"")+IMPORTRANGE(""https://docs.google.com/spreadsheets/d/16OMuOwy2eVqZcYWOouQtTpa8X1L23h4660uVHc0C8os/edit?usp=share_link"",""พิษณุโลก!I438"")+IMPORTRANGE(""https://docs.google."&amp;"com/spreadsheets/d/1GfgTldLG6k77HXaMQzaafODklYuucJZQNs_GAPEfZyY/edit?usp=share_link"",""เพชรบูรณ์!I438"")+IMPORTRANGE(""https://docs.google.com/spreadsheets/d/1gvTMYAnm7v1yG1BKWFtr0DnaTsq59oW9dwWvFgq6hs0/edit?usp=share_link"",""แพร่!I438"")+IMPORTRANGE("""&amp;"https://docs.google.com/spreadsheets/d/1Wbcosgy-Xa1xXUArJSOenub6EfZHUSzc_bpJFWwQUf0/edit?usp=share_link"",""แม่ฮ่องสอน!I438"")+IMPORTRANGE(""https://docs.google.com/spreadsheets/d/1p7ERhsr0qZeSn-KSOdeHS9r0heI-lHtkcn2OH7hP0jQ/edit?usp=share_link"",""ลำปาง!"&amp;"I438"")+IMPORTRANGE(""https://docs.google.com/spreadsheets/d/1-uUXvimVhiU2U0bMN-xi2te0tS4X7DI2GLPnMjzl8cA/edit?usp=share_link"",""ลำพูน!I438"")+IMPORTRANGE(""https://docs.google.com/spreadsheets/d/17HrOaa5pBUI1onckFfumXB8xlg35qb2uBAFfF1D-Myo/edit?usp=shar"&amp;"e_link"",""สุโขทัย!I438"")+IMPORTRANGE(""https://docs.google.com/spreadsheets/d/1ubs5cl16eYL9gHbdHTJtmtYb9MGzHBs7CAphn8kNCgM/edit?usp=share_link"",""อุตรดิตถ์!I438"")+IMPORTRANGE(""https://docs.google.com/spreadsheets/d/1kII0BjS6CtVrBvI8IrytgPdxDrlyQDyigz"&amp;"MsohRtDMs/edit?usp=share_link"",""อุทัยธานี!I438"")
"),7)</f>
        <v>7</v>
      </c>
      <c r="J438" s="183">
        <f ca="1">IFERROR(__xludf.DUMMYFUNCTION("IMPORTRANGE(""https://docs.google.com/spreadsheets/d/1KxicF4apzSqm0-jIpmueT4kyZtE-Cwn5zskl7GD4loQ/edit?usp=share_link"",""กำแพงเพชร!J438"")+IMPORTRANGE(""https://docs.google.com/spreadsheets/d/1ZNYWeiFoFA1K1U4xKWqRX29MBvEyRHXORjo734Gnq_c/edit?usp=share_li"&amp;"nk"",""เชียงราย!J438"")
+IMPORTRANGE(""https://docs.google.com/spreadsheets/d/1Jgv0Y7YlHDtsiDawwp-uvifEJ8HVaSn0k2aGHG8-hwM/edit?usp=share_link"",""เชียงใหม่!J438"")+IMPORTRANGE(""https://docs.google.com/spreadsheets/d/1JWG2rZePOz9pe-f-ObA-yDr0VoOX2kSb0qIi"&amp;"x2mTUo8/edit?usp=share_link"",""ตาก!J438"")+IMPORTRANGE(""https://docs.google.com/spreadsheets/d/10nSRjK08hx8Y6HgSOQKNw81lyY46Zc7U_Cj72hBMp9U/edit?usp=share_link"",""นครสวรรค์!J438"")+IMPORTRANGE(""https://docs.google.com/spreadsheets/d/1gFVb7qd7amutrIxAA"&amp;"oM7lcy35hllxznovot8lyOfvDo/edit?usp=share_link"",""น่าน!J438"")+IMPORTRANGE(""https://docs.google.com/spreadsheets/d/1K0Aa9s-6EuHE5M0FG1F9aHLXRCOV917xvycTdLdct0w/edit?usp=share_link"",""พะเยา!J438"")+IMPORTRANGE(""https://docs.google.com/spreadsheets/d/1Y"&amp;"9LPKx95PyL5OKy09d-KbKJSuuEZCFdkhYjwC0XQjBA/edit?usp=share_link"",""พิจิตร!J438"")+IMPORTRANGE(""https://docs.google.com/spreadsheets/d/16OMuOwy2eVqZcYWOouQtTpa8X1L23h4660uVHc0C8os/edit?usp=share_link"",""พิษณุโลก!J438"")+IMPORTRANGE(""https://docs.google."&amp;"com/spreadsheets/d/1GfgTldLG6k77HXaMQzaafODklYuucJZQNs_GAPEfZyY/edit?usp=share_link"",""เพชรบูรณ์!J438"")+IMPORTRANGE(""https://docs.google.com/spreadsheets/d/1gvTMYAnm7v1yG1BKWFtr0DnaTsq59oW9dwWvFgq6hs0/edit?usp=share_link"",""แพร่!J438"")+IMPORTRANGE("""&amp;"https://docs.google.com/spreadsheets/d/1Wbcosgy-Xa1xXUArJSOenub6EfZHUSzc_bpJFWwQUf0/edit?usp=share_link"",""แม่ฮ่องสอน!J438"")+IMPORTRANGE(""https://docs.google.com/spreadsheets/d/1p7ERhsr0qZeSn-KSOdeHS9r0heI-lHtkcn2OH7hP0jQ/edit?usp=share_link"",""ลำปาง!"&amp;"J438"")+IMPORTRANGE(""https://docs.google.com/spreadsheets/d/1-uUXvimVhiU2U0bMN-xi2te0tS4X7DI2GLPnMjzl8cA/edit?usp=share_link"",""ลำพูน!J438"")+IMPORTRANGE(""https://docs.google.com/spreadsheets/d/17HrOaa5pBUI1onckFfumXB8xlg35qb2uBAFfF1D-Myo/edit?usp=shar"&amp;"e_link"",""สุโขทัย!J438"")+IMPORTRANGE(""https://docs.google.com/spreadsheets/d/1ubs5cl16eYL9gHbdHTJtmtYb9MGzHBs7CAphn8kNCgM/edit?usp=share_link"",""อุตรดิตถ์!J438"")+IMPORTRANGE(""https://docs.google.com/spreadsheets/d/1kII0BjS6CtVrBvI8IrytgPdxDrlyQDyigz"&amp;"MsohRtDMs/edit?usp=share_link"",""อุทัยธานี!J438"")
"),3)</f>
        <v>3</v>
      </c>
      <c r="K438" s="38">
        <f t="shared" ca="1" si="227"/>
        <v>42.857142857142854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48">
        <f ca="1">IFERROR(__xludf.DUMMYFUNCTION("IMPORTRANGE(""https://docs.google.com/spreadsheets/d/1KxicF4apzSqm0-jIpmueT4kyZtE-Cwn5zskl7GD4loQ/edit?usp=share_link"",""กำแพงเพชร!I439"")+IMPORTRANGE(""https://docs.google.com/spreadsheets/d/1ZNYWeiFoFA1K1U4xKWqRX29MBvEyRHXORjo734Gnq_c/edit?usp=share_li"&amp;"nk"",""เชียงราย!I439"")
+IMPORTRANGE(""https://docs.google.com/spreadsheets/d/1Jgv0Y7YlHDtsiDawwp-uvifEJ8HVaSn0k2aGHG8-hwM/edit?usp=share_link"",""เชียงใหม่!I439"")+IMPORTRANGE(""https://docs.google.com/spreadsheets/d/1JWG2rZePOz9pe-f-ObA-yDr0VoOX2kSb0qIi"&amp;"x2mTUo8/edit?usp=share_link"",""ตาก!I439"")+IMPORTRANGE(""https://docs.google.com/spreadsheets/d/10nSRjK08hx8Y6HgSOQKNw81lyY46Zc7U_Cj72hBMp9U/edit?usp=share_link"",""นครสวรรค์!I439"")+IMPORTRANGE(""https://docs.google.com/spreadsheets/d/1gFVb7qd7amutrIxAA"&amp;"oM7lcy35hllxznovot8lyOfvDo/edit?usp=share_link"",""น่าน!I439"")+IMPORTRANGE(""https://docs.google.com/spreadsheets/d/1K0Aa9s-6EuHE5M0FG1F9aHLXRCOV917xvycTdLdct0w/edit?usp=share_link"",""พะเยา!I439"")+IMPORTRANGE(""https://docs.google.com/spreadsheets/d/1Y"&amp;"9LPKx95PyL5OKy09d-KbKJSuuEZCFdkhYjwC0XQjBA/edit?usp=share_link"",""พิจิตร!I439"")+IMPORTRANGE(""https://docs.google.com/spreadsheets/d/16OMuOwy2eVqZcYWOouQtTpa8X1L23h4660uVHc0C8os/edit?usp=share_link"",""พิษณุโลก!I439"")+IMPORTRANGE(""https://docs.google."&amp;"com/spreadsheets/d/1GfgTldLG6k77HXaMQzaafODklYuucJZQNs_GAPEfZyY/edit?usp=share_link"",""เพชรบูรณ์!I439"")+IMPORTRANGE(""https://docs.google.com/spreadsheets/d/1gvTMYAnm7v1yG1BKWFtr0DnaTsq59oW9dwWvFgq6hs0/edit?usp=share_link"",""แพร่!I439"")+IMPORTRANGE("""&amp;"https://docs.google.com/spreadsheets/d/1Wbcosgy-Xa1xXUArJSOenub6EfZHUSzc_bpJFWwQUf0/edit?usp=share_link"",""แม่ฮ่องสอน!I439"")+IMPORTRANGE(""https://docs.google.com/spreadsheets/d/1p7ERhsr0qZeSn-KSOdeHS9r0heI-lHtkcn2OH7hP0jQ/edit?usp=share_link"",""ลำปาง!"&amp;"I439"")+IMPORTRANGE(""https://docs.google.com/spreadsheets/d/1-uUXvimVhiU2U0bMN-xi2te0tS4X7DI2GLPnMjzl8cA/edit?usp=share_link"",""ลำพูน!I439"")+IMPORTRANGE(""https://docs.google.com/spreadsheets/d/17HrOaa5pBUI1onckFfumXB8xlg35qb2uBAFfF1D-Myo/edit?usp=shar"&amp;"e_link"",""สุโขทัย!I439"")+IMPORTRANGE(""https://docs.google.com/spreadsheets/d/1ubs5cl16eYL9gHbdHTJtmtYb9MGzHBs7CAphn8kNCgM/edit?usp=share_link"",""อุตรดิตถ์!I439"")+IMPORTRANGE(""https://docs.google.com/spreadsheets/d/1kII0BjS6CtVrBvI8IrytgPdxDrlyQDyigz"&amp;"MsohRtDMs/edit?usp=share_link"",""อุทัยธานี!I439"")
"),350)</f>
        <v>350</v>
      </c>
      <c r="J439" s="549">
        <f ca="1">IFERROR(__xludf.DUMMYFUNCTION("IMPORTRANGE(""https://docs.google.com/spreadsheets/d/1KxicF4apzSqm0-jIpmueT4kyZtE-Cwn5zskl7GD4loQ/edit?usp=share_link"",""กำแพงเพชร!J439"")+IMPORTRANGE(""https://docs.google.com/spreadsheets/d/1ZNYWeiFoFA1K1U4xKWqRX29MBvEyRHXORjo734Gnq_c/edit?usp=share_li"&amp;"nk"",""เชียงราย!J439"")
+IMPORTRANGE(""https://docs.google.com/spreadsheets/d/1Jgv0Y7YlHDtsiDawwp-uvifEJ8HVaSn0k2aGHG8-hwM/edit?usp=share_link"",""เชียงใหม่!J439"")+IMPORTRANGE(""https://docs.google.com/spreadsheets/d/1JWG2rZePOz9pe-f-ObA-yDr0VoOX2kSb0qIi"&amp;"x2mTUo8/edit?usp=share_link"",""ตาก!J439"")+IMPORTRANGE(""https://docs.google.com/spreadsheets/d/10nSRjK08hx8Y6HgSOQKNw81lyY46Zc7U_Cj72hBMp9U/edit?usp=share_link"",""นครสวรรค์!J439"")+IMPORTRANGE(""https://docs.google.com/spreadsheets/d/1gFVb7qd7amutrIxAA"&amp;"oM7lcy35hllxznovot8lyOfvDo/edit?usp=share_link"",""น่าน!J439"")+IMPORTRANGE(""https://docs.google.com/spreadsheets/d/1K0Aa9s-6EuHE5M0FG1F9aHLXRCOV917xvycTdLdct0w/edit?usp=share_link"",""พะเยา!J439"")+IMPORTRANGE(""https://docs.google.com/spreadsheets/d/1Y"&amp;"9LPKx95PyL5OKy09d-KbKJSuuEZCFdkhYjwC0XQjBA/edit?usp=share_link"",""พิจิตร!J439"")+IMPORTRANGE(""https://docs.google.com/spreadsheets/d/16OMuOwy2eVqZcYWOouQtTpa8X1L23h4660uVHc0C8os/edit?usp=share_link"",""พิษณุโลก!J439"")+IMPORTRANGE(""https://docs.google."&amp;"com/spreadsheets/d/1GfgTldLG6k77HXaMQzaafODklYuucJZQNs_GAPEfZyY/edit?usp=share_link"",""เพชรบูรณ์!J439"")+IMPORTRANGE(""https://docs.google.com/spreadsheets/d/1gvTMYAnm7v1yG1BKWFtr0DnaTsq59oW9dwWvFgq6hs0/edit?usp=share_link"",""แพร่!J439"")+IMPORTRANGE("""&amp;"https://docs.google.com/spreadsheets/d/1Wbcosgy-Xa1xXUArJSOenub6EfZHUSzc_bpJFWwQUf0/edit?usp=share_link"",""แม่ฮ่องสอน!J439"")+IMPORTRANGE(""https://docs.google.com/spreadsheets/d/1p7ERhsr0qZeSn-KSOdeHS9r0heI-lHtkcn2OH7hP0jQ/edit?usp=share_link"",""ลำปาง!"&amp;"J439"")+IMPORTRANGE(""https://docs.google.com/spreadsheets/d/1-uUXvimVhiU2U0bMN-xi2te0tS4X7DI2GLPnMjzl8cA/edit?usp=share_link"",""ลำพูน!J439"")+IMPORTRANGE(""https://docs.google.com/spreadsheets/d/17HrOaa5pBUI1onckFfumXB8xlg35qb2uBAFfF1D-Myo/edit?usp=shar"&amp;"e_link"",""สุโขทัย!J439"")+IMPORTRANGE(""https://docs.google.com/spreadsheets/d/1ubs5cl16eYL9gHbdHTJtmtYb9MGzHBs7CAphn8kNCgM/edit?usp=share_link"",""อุตรดิตถ์!J439"")+IMPORTRANGE(""https://docs.google.com/spreadsheets/d/1kII0BjS6CtVrBvI8IrytgPdxDrlyQDyigz"&amp;"MsohRtDMs/edit?usp=share_link"",""อุทัยธานี!J439"")
"),230)</f>
        <v>230</v>
      </c>
      <c r="K439" s="466">
        <f t="shared" ca="1" si="227"/>
        <v>65.714285714285708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xicF4apzSqm0-jIpmueT4kyZtE-Cwn5zskl7GD4loQ/edit?usp=share_link"",""กำแพงเพชร!I440"")+IMPORTRANGE(""https://docs.google.com/spreadsheets/d/1ZNYWeiFoFA1K1U4xKWqRX29MBvEyRHXORjo734Gnq_c/edit?usp=share_li"&amp;"nk"",""เชียงราย!I440"")
+IMPORTRANGE(""https://docs.google.com/spreadsheets/d/1Jgv0Y7YlHDtsiDawwp-uvifEJ8HVaSn0k2aGHG8-hwM/edit?usp=share_link"",""เชียงใหม่!I440"")+IMPORTRANGE(""https://docs.google.com/spreadsheets/d/1JWG2rZePOz9pe-f-ObA-yDr0VoOX2kSb0qIi"&amp;"x2mTUo8/edit?usp=share_link"",""ตาก!I440"")+IMPORTRANGE(""https://docs.google.com/spreadsheets/d/10nSRjK08hx8Y6HgSOQKNw81lyY46Zc7U_Cj72hBMp9U/edit?usp=share_link"",""นครสวรรค์!I440"")+IMPORTRANGE(""https://docs.google.com/spreadsheets/d/1gFVb7qd7amutrIxAA"&amp;"oM7lcy35hllxznovot8lyOfvDo/edit?usp=share_link"",""น่าน!I440"")+IMPORTRANGE(""https://docs.google.com/spreadsheets/d/1K0Aa9s-6EuHE5M0FG1F9aHLXRCOV917xvycTdLdct0w/edit?usp=share_link"",""พะเยา!I440"")+IMPORTRANGE(""https://docs.google.com/spreadsheets/d/1Y"&amp;"9LPKx95PyL5OKy09d-KbKJSuuEZCFdkhYjwC0XQjBA/edit?usp=share_link"",""พิจิตร!I440"")+IMPORTRANGE(""https://docs.google.com/spreadsheets/d/16OMuOwy2eVqZcYWOouQtTpa8X1L23h4660uVHc0C8os/edit?usp=share_link"",""พิษณุโลก!I440"")+IMPORTRANGE(""https://docs.google."&amp;"com/spreadsheets/d/1GfgTldLG6k77HXaMQzaafODklYuucJZQNs_GAPEfZyY/edit?usp=share_link"",""เพชรบูรณ์!I440"")+IMPORTRANGE(""https://docs.google.com/spreadsheets/d/1gvTMYAnm7v1yG1BKWFtr0DnaTsq59oW9dwWvFgq6hs0/edit?usp=share_link"",""แพร่!I440"")+IMPORTRANGE("""&amp;"https://docs.google.com/spreadsheets/d/1Wbcosgy-Xa1xXUArJSOenub6EfZHUSzc_bpJFWwQUf0/edit?usp=share_link"",""แม่ฮ่องสอน!I440"")+IMPORTRANGE(""https://docs.google.com/spreadsheets/d/1p7ERhsr0qZeSn-KSOdeHS9r0heI-lHtkcn2OH7hP0jQ/edit?usp=share_link"",""ลำปาง!"&amp;"I440"")+IMPORTRANGE(""https://docs.google.com/spreadsheets/d/1-uUXvimVhiU2U0bMN-xi2te0tS4X7DI2GLPnMjzl8cA/edit?usp=share_link"",""ลำพูน!I440"")+IMPORTRANGE(""https://docs.google.com/spreadsheets/d/17HrOaa5pBUI1onckFfumXB8xlg35qb2uBAFfF1D-Myo/edit?usp=shar"&amp;"e_link"",""สุโขทัย!I440"")+IMPORTRANGE(""https://docs.google.com/spreadsheets/d/1ubs5cl16eYL9gHbdHTJtmtYb9MGzHBs7CAphn8kNCgM/edit?usp=share_link"",""อุตรดิตถ์!I440"")+IMPORTRANGE(""https://docs.google.com/spreadsheets/d/1kII0BjS6CtVrBvI8IrytgPdxDrlyQDyigz"&amp;"MsohRtDMs/edit?usp=share_link"",""อุทัยธานี!I440"")
"),17)</f>
        <v>17</v>
      </c>
      <c r="J440" s="183">
        <f ca="1">IFERROR(__xludf.DUMMYFUNCTION("IMPORTRANGE(""https://docs.google.com/spreadsheets/d/1KxicF4apzSqm0-jIpmueT4kyZtE-Cwn5zskl7GD4loQ/edit?usp=share_link"",""กำแพงเพชร!J440"")+IMPORTRANGE(""https://docs.google.com/spreadsheets/d/1ZNYWeiFoFA1K1U4xKWqRX29MBvEyRHXORjo734Gnq_c/edit?usp=share_li"&amp;"nk"",""เชียงราย!J440"")
+IMPORTRANGE(""https://docs.google.com/spreadsheets/d/1Jgv0Y7YlHDtsiDawwp-uvifEJ8HVaSn0k2aGHG8-hwM/edit?usp=share_link"",""เชียงใหม่!J440"")+IMPORTRANGE(""https://docs.google.com/spreadsheets/d/1JWG2rZePOz9pe-f-ObA-yDr0VoOX2kSb0qIi"&amp;"x2mTUo8/edit?usp=share_link"",""ตาก!J440"")+IMPORTRANGE(""https://docs.google.com/spreadsheets/d/10nSRjK08hx8Y6HgSOQKNw81lyY46Zc7U_Cj72hBMp9U/edit?usp=share_link"",""นครสวรรค์!J440"")+IMPORTRANGE(""https://docs.google.com/spreadsheets/d/1gFVb7qd7amutrIxAA"&amp;"oM7lcy35hllxznovot8lyOfvDo/edit?usp=share_link"",""น่าน!J440"")+IMPORTRANGE(""https://docs.google.com/spreadsheets/d/1K0Aa9s-6EuHE5M0FG1F9aHLXRCOV917xvycTdLdct0w/edit?usp=share_link"",""พะเยา!J440"")+IMPORTRANGE(""https://docs.google.com/spreadsheets/d/1Y"&amp;"9LPKx95PyL5OKy09d-KbKJSuuEZCFdkhYjwC0XQjBA/edit?usp=share_link"",""พิจิตร!J440"")+IMPORTRANGE(""https://docs.google.com/spreadsheets/d/16OMuOwy2eVqZcYWOouQtTpa8X1L23h4660uVHc0C8os/edit?usp=share_link"",""พิษณุโลก!J440"")+IMPORTRANGE(""https://docs.google."&amp;"com/spreadsheets/d/1GfgTldLG6k77HXaMQzaafODklYuucJZQNs_GAPEfZyY/edit?usp=share_link"",""เพชรบูรณ์!J440"")+IMPORTRANGE(""https://docs.google.com/spreadsheets/d/1gvTMYAnm7v1yG1BKWFtr0DnaTsq59oW9dwWvFgq6hs0/edit?usp=share_link"",""แพร่!J440"")+IMPORTRANGE("""&amp;"https://docs.google.com/spreadsheets/d/1Wbcosgy-Xa1xXUArJSOenub6EfZHUSzc_bpJFWwQUf0/edit?usp=share_link"",""แม่ฮ่องสอน!J440"")+IMPORTRANGE(""https://docs.google.com/spreadsheets/d/1p7ERhsr0qZeSn-KSOdeHS9r0heI-lHtkcn2OH7hP0jQ/edit?usp=share_link"",""ลำปาง!"&amp;"J440"")+IMPORTRANGE(""https://docs.google.com/spreadsheets/d/1-uUXvimVhiU2U0bMN-xi2te0tS4X7DI2GLPnMjzl8cA/edit?usp=share_link"",""ลำพูน!J440"")+IMPORTRANGE(""https://docs.google.com/spreadsheets/d/17HrOaa5pBUI1onckFfumXB8xlg35qb2uBAFfF1D-Myo/edit?usp=shar"&amp;"e_link"",""สุโขทัย!J440"")+IMPORTRANGE(""https://docs.google.com/spreadsheets/d/1ubs5cl16eYL9gHbdHTJtmtYb9MGzHBs7CAphn8kNCgM/edit?usp=share_link"",""อุตรดิตถ์!J440"")+IMPORTRANGE(""https://docs.google.com/spreadsheets/d/1kII0BjS6CtVrBvI8IrytgPdxDrlyQDyigz"&amp;"MsohRtDMs/edit?usp=share_link"",""อุทัยธานี!J440"")
"),10)</f>
        <v>10</v>
      </c>
      <c r="K440" s="38">
        <f t="shared" ca="1" si="227"/>
        <v>58.823529411764703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xicF4apzSqm0-jIpmueT4kyZtE-Cwn5zskl7GD4loQ/edit?usp=share_link"",""กำแพงเพชร!I441"")+IMPORTRANGE(""https://docs.google.com/spreadsheets/d/1ZNYWeiFoFA1K1U4xKWqRX29MBvEyRHXORjo734Gnq_c/edit?usp=share_li"&amp;"nk"",""เชียงราย!I441"")
+IMPORTRANGE(""https://docs.google.com/spreadsheets/d/1Jgv0Y7YlHDtsiDawwp-uvifEJ8HVaSn0k2aGHG8-hwM/edit?usp=share_link"",""เชียงใหม่!I441"")+IMPORTRANGE(""https://docs.google.com/spreadsheets/d/1JWG2rZePOz9pe-f-ObA-yDr0VoOX2kSb0qIi"&amp;"x2mTUo8/edit?usp=share_link"",""ตาก!I441"")+IMPORTRANGE(""https://docs.google.com/spreadsheets/d/10nSRjK08hx8Y6HgSOQKNw81lyY46Zc7U_Cj72hBMp9U/edit?usp=share_link"",""นครสวรรค์!I441"")+IMPORTRANGE(""https://docs.google.com/spreadsheets/d/1gFVb7qd7amutrIxAA"&amp;"oM7lcy35hllxznovot8lyOfvDo/edit?usp=share_link"",""น่าน!I441"")+IMPORTRANGE(""https://docs.google.com/spreadsheets/d/1K0Aa9s-6EuHE5M0FG1F9aHLXRCOV917xvycTdLdct0w/edit?usp=share_link"",""พะเยา!I441"")+IMPORTRANGE(""https://docs.google.com/spreadsheets/d/1Y"&amp;"9LPKx95PyL5OKy09d-KbKJSuuEZCFdkhYjwC0XQjBA/edit?usp=share_link"",""พิจิตร!I441"")+IMPORTRANGE(""https://docs.google.com/spreadsheets/d/16OMuOwy2eVqZcYWOouQtTpa8X1L23h4660uVHc0C8os/edit?usp=share_link"",""พิษณุโลก!I441"")+IMPORTRANGE(""https://docs.google."&amp;"com/spreadsheets/d/1GfgTldLG6k77HXaMQzaafODklYuucJZQNs_GAPEfZyY/edit?usp=share_link"",""เพชรบูรณ์!I441"")+IMPORTRANGE(""https://docs.google.com/spreadsheets/d/1gvTMYAnm7v1yG1BKWFtr0DnaTsq59oW9dwWvFgq6hs0/edit?usp=share_link"",""แพร่!I441"")+IMPORTRANGE("""&amp;"https://docs.google.com/spreadsheets/d/1Wbcosgy-Xa1xXUArJSOenub6EfZHUSzc_bpJFWwQUf0/edit?usp=share_link"",""แม่ฮ่องสอน!I441"")+IMPORTRANGE(""https://docs.google.com/spreadsheets/d/1p7ERhsr0qZeSn-KSOdeHS9r0heI-lHtkcn2OH7hP0jQ/edit?usp=share_link"",""ลำปาง!"&amp;"I441"")+IMPORTRANGE(""https://docs.google.com/spreadsheets/d/1-uUXvimVhiU2U0bMN-xi2te0tS4X7DI2GLPnMjzl8cA/edit?usp=share_link"",""ลำพูน!I441"")+IMPORTRANGE(""https://docs.google.com/spreadsheets/d/17HrOaa5pBUI1onckFfumXB8xlg35qb2uBAFfF1D-Myo/edit?usp=shar"&amp;"e_link"",""สุโขทัย!I441"")+IMPORTRANGE(""https://docs.google.com/spreadsheets/d/1ubs5cl16eYL9gHbdHTJtmtYb9MGzHBs7CAphn8kNCgM/edit?usp=share_link"",""อุตรดิตถ์!I441"")+IMPORTRANGE(""https://docs.google.com/spreadsheets/d/1kII0BjS6CtVrBvI8IrytgPdxDrlyQDyigz"&amp;"MsohRtDMs/edit?usp=share_link"",""อุทัยธานี!I441"")
"),0)</f>
        <v>0</v>
      </c>
      <c r="J441" s="270">
        <v>0</v>
      </c>
      <c r="K441" s="38">
        <f t="shared" ca="1" si="227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228">I460</f>
        <v>860</v>
      </c>
      <c r="J442" s="555">
        <f t="shared" ca="1" si="228"/>
        <v>705</v>
      </c>
      <c r="K442" s="556">
        <f t="shared" ca="1" si="227"/>
        <v>81.976744186046517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229">I462</f>
        <v>2205</v>
      </c>
      <c r="J443" s="533">
        <f t="shared" ca="1" si="229"/>
        <v>1167</v>
      </c>
      <c r="K443" s="534">
        <f t="shared" ca="1" si="227"/>
        <v>52.925170068027214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540"/>
      <c r="C444" s="540" t="s">
        <v>16</v>
      </c>
      <c r="D444" s="929" t="s">
        <v>17</v>
      </c>
      <c r="E444" s="923"/>
      <c r="F444" s="923"/>
      <c r="G444" s="189"/>
      <c r="H444" s="563" t="s">
        <v>12</v>
      </c>
      <c r="I444" s="37"/>
      <c r="J444" s="37"/>
      <c r="K444" s="38"/>
      <c r="L444" s="195">
        <f t="shared" ref="L444:N444" ca="1" si="230">L445+L446</f>
        <v>5863196</v>
      </c>
      <c r="M444" s="195">
        <f t="shared" si="230"/>
        <v>0</v>
      </c>
      <c r="N444" s="195">
        <f t="shared" ca="1" si="230"/>
        <v>1673562.16</v>
      </c>
      <c r="O444" s="195">
        <f t="shared" ref="O444:O449" ca="1" si="231">IF(L444&gt;0,N444*100/L444,0)</f>
        <v>28.543513810556565</v>
      </c>
      <c r="P444" s="195">
        <f t="shared" ref="P444:P449" si="232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565"/>
      <c r="C445" s="565"/>
      <c r="D445" s="566"/>
      <c r="E445" s="567" t="s">
        <v>184</v>
      </c>
      <c r="F445" s="565"/>
      <c r="G445" s="568"/>
      <c r="H445" s="165" t="s">
        <v>12</v>
      </c>
      <c r="I445" s="44"/>
      <c r="J445" s="44"/>
      <c r="K445" s="45"/>
      <c r="L445" s="45">
        <f t="shared" ref="L445:N445" si="233">L448+L455</f>
        <v>0</v>
      </c>
      <c r="M445" s="45">
        <f t="shared" si="233"/>
        <v>0</v>
      </c>
      <c r="N445" s="45">
        <f t="shared" si="233"/>
        <v>0</v>
      </c>
      <c r="O445" s="45">
        <f t="shared" si="231"/>
        <v>0</v>
      </c>
      <c r="P445" s="45">
        <f t="shared" si="232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0"/>
      <c r="C446" s="565"/>
      <c r="D446" s="566"/>
      <c r="E446" s="567" t="s">
        <v>185</v>
      </c>
      <c r="F446" s="565"/>
      <c r="G446" s="568"/>
      <c r="H446" s="165" t="s">
        <v>12</v>
      </c>
      <c r="I446" s="44"/>
      <c r="J446" s="44"/>
      <c r="K446" s="45"/>
      <c r="L446" s="45">
        <f t="shared" ref="L446:N446" ca="1" si="234">L449+L456</f>
        <v>5863196</v>
      </c>
      <c r="M446" s="45">
        <f t="shared" si="234"/>
        <v>0</v>
      </c>
      <c r="N446" s="45">
        <f t="shared" ca="1" si="234"/>
        <v>1673562.16</v>
      </c>
      <c r="O446" s="45">
        <f t="shared" ca="1" si="231"/>
        <v>28.543513810556565</v>
      </c>
      <c r="P446" s="45">
        <f t="shared" si="232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540"/>
      <c r="D447" s="571" t="s">
        <v>20</v>
      </c>
      <c r="E447" s="540"/>
      <c r="F447" s="540"/>
      <c r="G447" s="189"/>
      <c r="H447" s="161" t="s">
        <v>12</v>
      </c>
      <c r="I447" s="162"/>
      <c r="J447" s="162"/>
      <c r="K447" s="163"/>
      <c r="L447" s="38">
        <f t="shared" ref="L447:N447" ca="1" si="235">L448+L449</f>
        <v>5863196</v>
      </c>
      <c r="M447" s="38">
        <f t="shared" si="235"/>
        <v>0</v>
      </c>
      <c r="N447" s="38">
        <f t="shared" ca="1" si="235"/>
        <v>1673562.16</v>
      </c>
      <c r="O447" s="38">
        <f t="shared" ca="1" si="231"/>
        <v>28.543513810556565</v>
      </c>
      <c r="P447" s="38">
        <f t="shared" si="232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0"/>
      <c r="C448" s="565"/>
      <c r="D448" s="566"/>
      <c r="E448" s="567" t="s">
        <v>184</v>
      </c>
      <c r="F448" s="565"/>
      <c r="G448" s="56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1"/>
        <v>0</v>
      </c>
      <c r="P448" s="45">
        <f t="shared" si="232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0"/>
      <c r="C449" s="565"/>
      <c r="D449" s="566"/>
      <c r="E449" s="567" t="s">
        <v>185</v>
      </c>
      <c r="F449" s="565"/>
      <c r="G449" s="568"/>
      <c r="H449" s="165" t="s">
        <v>12</v>
      </c>
      <c r="I449" s="44"/>
      <c r="J449" s="44"/>
      <c r="K449" s="45"/>
      <c r="L449" s="45">
        <f ca="1">IFERROR(__xludf.DUMMYFUNCTION("IMPORTRANGE(""https://docs.google.com/spreadsheets/d/1KxicF4apzSqm0-jIpmueT4kyZtE-Cwn5zskl7GD4loQ/edit?usp=share_link"",""กำแพงเพชร!l449"")+IMPORTRANGE(""https://docs.google.com/spreadsheets/d/1ZNYWeiFoFA1K1U4xKWqRX29MBvEyRHXORjo734Gnq_c/edit?usp=share_li"&amp;"nk"",""เชียงราย!l449"")
+IMPORTRANGE(""https://docs.google.com/spreadsheets/d/1Jgv0Y7YlHDtsiDawwp-uvifEJ8HVaSn0k2aGHG8-hwM/edit?usp=share_link"",""เชียงใหม่!l449"")+IMPORTRANGE(""https://docs.google.com/spreadsheets/d/1JWG2rZePOz9pe-f-ObA-yDr0VoOX2kSb0qIi"&amp;"x2mTUo8/edit?usp=share_link"",""ตาก!l449"")+IMPORTRANGE(""https://docs.google.com/spreadsheets/d/10nSRjK08hx8Y6HgSOQKNw81lyY46Zc7U_Cj72hBMp9U/edit?usp=share_link"",""นครสวรรค์!l449"")+IMPORTRANGE(""https://docs.google.com/spreadsheets/d/1gFVb7qd7amutrIxAA"&amp;"oM7lcy35hllxznovot8lyOfvDo/edit?usp=share_link"",""น่าน!l449"")+IMPORTRANGE(""https://docs.google.com/spreadsheets/d/1K0Aa9s-6EuHE5M0FG1F9aHLXRCOV917xvycTdLdct0w/edit?usp=share_link"",""พะเยา!l449"")+IMPORTRANGE(""https://docs.google.com/spreadsheets/d/1Y"&amp;"9LPKx95PyL5OKy09d-KbKJSuuEZCFdkhYjwC0XQjBA/edit?usp=share_link"",""พิจิตร!l449"")+IMPORTRANGE(""https://docs.google.com/spreadsheets/d/16OMuOwy2eVqZcYWOouQtTpa8X1L23h4660uVHc0C8os/edit?usp=share_link"",""พิษณุโลก!l449"")+IMPORTRANGE(""https://docs.google."&amp;"com/spreadsheets/d/1GfgTldLG6k77HXaMQzaafODklYuucJZQNs_GAPEfZyY/edit?usp=share_link"",""เพชรบูรณ์!l449"")+IMPORTRANGE(""https://docs.google.com/spreadsheets/d/1gvTMYAnm7v1yG1BKWFtr0DnaTsq59oW9dwWvFgq6hs0/edit?usp=share_link"",""แพร่!l449"")+IMPORTRANGE("""&amp;"https://docs.google.com/spreadsheets/d/1Wbcosgy-Xa1xXUArJSOenub6EfZHUSzc_bpJFWwQUf0/edit?usp=share_link"",""แม่ฮ่องสอน!l449"")+IMPORTRANGE(""https://docs.google.com/spreadsheets/d/1p7ERhsr0qZeSn-KSOdeHS9r0heI-lHtkcn2OH7hP0jQ/edit?usp=share_link"",""ลำปาง!"&amp;"l449"")+IMPORTRANGE(""https://docs.google.com/spreadsheets/d/1-uUXvimVhiU2U0bMN-xi2te0tS4X7DI2GLPnMjzl8cA/edit?usp=share_link"",""ลำพูน!l449"")+IMPORTRANGE(""https://docs.google.com/spreadsheets/d/17HrOaa5pBUI1onckFfumXB8xlg35qb2uBAFfF1D-Myo/edit?usp=shar"&amp;"e_link"",""สุโขทัย!l449"")+IMPORTRANGE(""https://docs.google.com/spreadsheets/d/1ubs5cl16eYL9gHbdHTJtmtYb9MGzHBs7CAphn8kNCgM/edit?usp=share_link"",""อุตรดิตถ์!l449"")+IMPORTRANGE(""https://docs.google.com/spreadsheets/d/1kII0BjS6CtVrBvI8IrytgPdxDrlyQDyigz"&amp;"MsohRtDMs/edit?usp=share_link"",""อุทัยธานี!l449"")
"),5863196)</f>
        <v>5863196</v>
      </c>
      <c r="M449" s="93">
        <v>0</v>
      </c>
      <c r="N449" s="45">
        <f ca="1">N450+N451+N452+N453</f>
        <v>1673562.16</v>
      </c>
      <c r="O449" s="45">
        <f t="shared" ca="1" si="231"/>
        <v>28.543513810556565</v>
      </c>
      <c r="P449" s="45">
        <f t="shared" si="232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540"/>
      <c r="D450" s="540"/>
      <c r="E450" s="540"/>
      <c r="F450" s="541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xicF4apzSqm0-jIpmueT4kyZtE-Cwn5zskl7GD4loQ/edit?usp=share_link"",""กำแพงเพชร!n450"")+IMPORTRANGE(""https://docs.google.com/spreadsheets/d/1ZNYWeiFoFA1K1U4xKWqRX29MBvEyRHXORjo734Gnq_c/edit?usp=share_li"&amp;"nk"",""เชียงราย!n450"")
+IMPORTRANGE(""https://docs.google.com/spreadsheets/d/1Jgv0Y7YlHDtsiDawwp-uvifEJ8HVaSn0k2aGHG8-hwM/edit?usp=share_link"",""เชียงใหม่!n450"")+IMPORTRANGE(""https://docs.google.com/spreadsheets/d/1JWG2rZePOz9pe-f-ObA-yDr0VoOX2kSb0qIi"&amp;"x2mTUo8/edit?usp=share_link"",""ตาก!n450"")+IMPORTRANGE(""https://docs.google.com/spreadsheets/d/10nSRjK08hx8Y6HgSOQKNw81lyY46Zc7U_Cj72hBMp9U/edit?usp=share_link"",""นครสวรรค์!n450"")+IMPORTRANGE(""https://docs.google.com/spreadsheets/d/1gFVb7qd7amutrIxAA"&amp;"oM7lcy35hllxznovot8lyOfvDo/edit?usp=share_link"",""น่าน!n450"")+IMPORTRANGE(""https://docs.google.com/spreadsheets/d/1K0Aa9s-6EuHE5M0FG1F9aHLXRCOV917xvycTdLdct0w/edit?usp=share_link"",""พะเยา!n450"")+IMPORTRANGE(""https://docs.google.com/spreadsheets/d/1Y"&amp;"9LPKx95PyL5OKy09d-KbKJSuuEZCFdkhYjwC0XQjBA/edit?usp=share_link"",""พิจิตร!n450"")+IMPORTRANGE(""https://docs.google.com/spreadsheets/d/16OMuOwy2eVqZcYWOouQtTpa8X1L23h4660uVHc0C8os/edit?usp=share_link"",""พิษณุโลก!n450"")+IMPORTRANGE(""https://docs.google."&amp;"com/spreadsheets/d/1GfgTldLG6k77HXaMQzaafODklYuucJZQNs_GAPEfZyY/edit?usp=share_link"",""เพชรบูรณ์!n450"")+IMPORTRANGE(""https://docs.google.com/spreadsheets/d/1gvTMYAnm7v1yG1BKWFtr0DnaTsq59oW9dwWvFgq6hs0/edit?usp=share_link"",""แพร่!n450"")+IMPORTRANGE("""&amp;"https://docs.google.com/spreadsheets/d/1Wbcosgy-Xa1xXUArJSOenub6EfZHUSzc_bpJFWwQUf0/edit?usp=share_link"",""แม่ฮ่องสอน!n450"")+IMPORTRANGE(""https://docs.google.com/spreadsheets/d/1p7ERhsr0qZeSn-KSOdeHS9r0heI-lHtkcn2OH7hP0jQ/edit?usp=share_link"",""ลำปาง!"&amp;"n450"")+IMPORTRANGE(""https://docs.google.com/spreadsheets/d/1-uUXvimVhiU2U0bMN-xi2te0tS4X7DI2GLPnMjzl8cA/edit?usp=share_link"",""ลำพูน!n450"")+IMPORTRANGE(""https://docs.google.com/spreadsheets/d/17HrOaa5pBUI1onckFfumXB8xlg35qb2uBAFfF1D-Myo/edit?usp=shar"&amp;"e_link"",""สุโขทัย!n450"")+IMPORTRANGE(""https://docs.google.com/spreadsheets/d/1ubs5cl16eYL9gHbdHTJtmtYb9MGzHBs7CAphn8kNCgM/edit?usp=share_link"",""อุตรดิตถ์!n450"")+IMPORTRANGE(""https://docs.google.com/spreadsheets/d/1kII0BjS6CtVrBvI8IrytgPdxDrlyQDyigz"&amp;"MsohRtDMs/edit?usp=share_link"",""อุทัยธานี!n450"")
"),774963)</f>
        <v>774963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540"/>
      <c r="D451" s="540"/>
      <c r="E451" s="540"/>
      <c r="F451" s="541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xicF4apzSqm0-jIpmueT4kyZtE-Cwn5zskl7GD4loQ/edit?usp=share_link"",""กำแพงเพชร!n451"")+IMPORTRANGE(""https://docs.google.com/spreadsheets/d/1ZNYWeiFoFA1K1U4xKWqRX29MBvEyRHXORjo734Gnq_c/edit?usp=share_li"&amp;"nk"",""เชียงราย!n451"")
+IMPORTRANGE(""https://docs.google.com/spreadsheets/d/1Jgv0Y7YlHDtsiDawwp-uvifEJ8HVaSn0k2aGHG8-hwM/edit?usp=share_link"",""เชียงใหม่!n451"")+IMPORTRANGE(""https://docs.google.com/spreadsheets/d/1JWG2rZePOz9pe-f-ObA-yDr0VoOX2kSb0qIi"&amp;"x2mTUo8/edit?usp=share_link"",""ตาก!n451"")+IMPORTRANGE(""https://docs.google.com/spreadsheets/d/10nSRjK08hx8Y6HgSOQKNw81lyY46Zc7U_Cj72hBMp9U/edit?usp=share_link"",""นครสวรรค์!n451"")+IMPORTRANGE(""https://docs.google.com/spreadsheets/d/1gFVb7qd7amutrIxAA"&amp;"oM7lcy35hllxznovot8lyOfvDo/edit?usp=share_link"",""น่าน!n451"")+IMPORTRANGE(""https://docs.google.com/spreadsheets/d/1K0Aa9s-6EuHE5M0FG1F9aHLXRCOV917xvycTdLdct0w/edit?usp=share_link"",""พะเยา!n451"")+IMPORTRANGE(""https://docs.google.com/spreadsheets/d/1Y"&amp;"9LPKx95PyL5OKy09d-KbKJSuuEZCFdkhYjwC0XQjBA/edit?usp=share_link"",""พิจิตร!n451"")+IMPORTRANGE(""https://docs.google.com/spreadsheets/d/16OMuOwy2eVqZcYWOouQtTpa8X1L23h4660uVHc0C8os/edit?usp=share_link"",""พิษณุโลก!n451"")+IMPORTRANGE(""https://docs.google."&amp;"com/spreadsheets/d/1GfgTldLG6k77HXaMQzaafODklYuucJZQNs_GAPEfZyY/edit?usp=share_link"",""เพชรบูรณ์!n451"")+IMPORTRANGE(""https://docs.google.com/spreadsheets/d/1gvTMYAnm7v1yG1BKWFtr0DnaTsq59oW9dwWvFgq6hs0/edit?usp=share_link"",""แพร่!n451"")+IMPORTRANGE("""&amp;"https://docs.google.com/spreadsheets/d/1Wbcosgy-Xa1xXUArJSOenub6EfZHUSzc_bpJFWwQUf0/edit?usp=share_link"",""แม่ฮ่องสอน!n451"")+IMPORTRANGE(""https://docs.google.com/spreadsheets/d/1p7ERhsr0qZeSn-KSOdeHS9r0heI-lHtkcn2OH7hP0jQ/edit?usp=share_link"",""ลำปาง!"&amp;"n451"")+IMPORTRANGE(""https://docs.google.com/spreadsheets/d/1-uUXvimVhiU2U0bMN-xi2te0tS4X7DI2GLPnMjzl8cA/edit?usp=share_link"",""ลำพูน!n451"")+IMPORTRANGE(""https://docs.google.com/spreadsheets/d/17HrOaa5pBUI1onckFfumXB8xlg35qb2uBAFfF1D-Myo/edit?usp=shar"&amp;"e_link"",""สุโขทัย!n451"")+IMPORTRANGE(""https://docs.google.com/spreadsheets/d/1ubs5cl16eYL9gHbdHTJtmtYb9MGzHBs7CAphn8kNCgM/edit?usp=share_link"",""อุตรดิตถ์!n451"")+IMPORTRANGE(""https://docs.google.com/spreadsheets/d/1kII0BjS6CtVrBvI8IrytgPdxDrlyQDyigz"&amp;"MsohRtDMs/edit?usp=share_link"",""อุทัยธานี!n451"")
"),248000)</f>
        <v>248000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541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xicF4apzSqm0-jIpmueT4kyZtE-Cwn5zskl7GD4loQ/edit?usp=share_link"",""กำแพงเพชร!n452"")+IMPORTRANGE(""https://docs.google.com/spreadsheets/d/1ZNYWeiFoFA1K1U4xKWqRX29MBvEyRHXORjo734Gnq_c/edit?usp=share_li"&amp;"nk"",""เชียงราย!n452"")
+IMPORTRANGE(""https://docs.google.com/spreadsheets/d/1Jgv0Y7YlHDtsiDawwp-uvifEJ8HVaSn0k2aGHG8-hwM/edit?usp=share_link"",""เชียงใหม่!n452"")+IMPORTRANGE(""https://docs.google.com/spreadsheets/d/1JWG2rZePOz9pe-f-ObA-yDr0VoOX2kSb0qIi"&amp;"x2mTUo8/edit?usp=share_link"",""ตาก!n452"")+IMPORTRANGE(""https://docs.google.com/spreadsheets/d/10nSRjK08hx8Y6HgSOQKNw81lyY46Zc7U_Cj72hBMp9U/edit?usp=share_link"",""นครสวรรค์!n452"")+IMPORTRANGE(""https://docs.google.com/spreadsheets/d/1gFVb7qd7amutrIxAA"&amp;"oM7lcy35hllxznovot8lyOfvDo/edit?usp=share_link"",""น่าน!n452"")+IMPORTRANGE(""https://docs.google.com/spreadsheets/d/1K0Aa9s-6EuHE5M0FG1F9aHLXRCOV917xvycTdLdct0w/edit?usp=share_link"",""พะเยา!n452"")+IMPORTRANGE(""https://docs.google.com/spreadsheets/d/1Y"&amp;"9LPKx95PyL5OKy09d-KbKJSuuEZCFdkhYjwC0XQjBA/edit?usp=share_link"",""พิจิตร!n452"")+IMPORTRANGE(""https://docs.google.com/spreadsheets/d/16OMuOwy2eVqZcYWOouQtTpa8X1L23h4660uVHc0C8os/edit?usp=share_link"",""พิษณุโลก!n452"")+IMPORTRANGE(""https://docs.google."&amp;"com/spreadsheets/d/1GfgTldLG6k77HXaMQzaafODklYuucJZQNs_GAPEfZyY/edit?usp=share_link"",""เพชรบูรณ์!n452"")+IMPORTRANGE(""https://docs.google.com/spreadsheets/d/1gvTMYAnm7v1yG1BKWFtr0DnaTsq59oW9dwWvFgq6hs0/edit?usp=share_link"",""แพร่!n452"")+IMPORTRANGE("""&amp;"https://docs.google.com/spreadsheets/d/1Wbcosgy-Xa1xXUArJSOenub6EfZHUSzc_bpJFWwQUf0/edit?usp=share_link"",""แม่ฮ่องสอน!n452"")+IMPORTRANGE(""https://docs.google.com/spreadsheets/d/1p7ERhsr0qZeSn-KSOdeHS9r0heI-lHtkcn2OH7hP0jQ/edit?usp=share_link"",""ลำปาง!"&amp;"n452"")+IMPORTRANGE(""https://docs.google.com/spreadsheets/d/1-uUXvimVhiU2U0bMN-xi2te0tS4X7DI2GLPnMjzl8cA/edit?usp=share_link"",""ลำพูน!n452"")+IMPORTRANGE(""https://docs.google.com/spreadsheets/d/17HrOaa5pBUI1onckFfumXB8xlg35qb2uBAFfF1D-Myo/edit?usp=shar"&amp;"e_link"",""สุโขทัย!n452"")+IMPORTRANGE(""https://docs.google.com/spreadsheets/d/1ubs5cl16eYL9gHbdHTJtmtYb9MGzHBs7CAphn8kNCgM/edit?usp=share_link"",""อุตรดิตถ์!n452"")+IMPORTRANGE(""https://docs.google.com/spreadsheets/d/1kII0BjS6CtVrBvI8IrytgPdxDrlyQDyigz"&amp;"MsohRtDMs/edit?usp=share_link"",""อุทัยธานี!n452"")
"),504394.66)</f>
        <v>504394.66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541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xicF4apzSqm0-jIpmueT4kyZtE-Cwn5zskl7GD4loQ/edit?usp=share_link"",""กำแพงเพชร!n453"")+IMPORTRANGE(""https://docs.google.com/spreadsheets/d/1ZNYWeiFoFA1K1U4xKWqRX29MBvEyRHXORjo734Gnq_c/edit?usp=share_li"&amp;"nk"",""เชียงราย!n453"")
+IMPORTRANGE(""https://docs.google.com/spreadsheets/d/1Jgv0Y7YlHDtsiDawwp-uvifEJ8HVaSn0k2aGHG8-hwM/edit?usp=share_link"",""เชียงใหม่!n453"")+IMPORTRANGE(""https://docs.google.com/spreadsheets/d/1JWG2rZePOz9pe-f-ObA-yDr0VoOX2kSb0qIi"&amp;"x2mTUo8/edit?usp=share_link"",""ตาก!n453"")+IMPORTRANGE(""https://docs.google.com/spreadsheets/d/10nSRjK08hx8Y6HgSOQKNw81lyY46Zc7U_Cj72hBMp9U/edit?usp=share_link"",""นครสวรรค์!n453"")+IMPORTRANGE(""https://docs.google.com/spreadsheets/d/1gFVb7qd7amutrIxAA"&amp;"oM7lcy35hllxznovot8lyOfvDo/edit?usp=share_link"",""น่าน!n453"")+IMPORTRANGE(""https://docs.google.com/spreadsheets/d/1K0Aa9s-6EuHE5M0FG1F9aHLXRCOV917xvycTdLdct0w/edit?usp=share_link"",""พะเยา!n453"")+IMPORTRANGE(""https://docs.google.com/spreadsheets/d/1Y"&amp;"9LPKx95PyL5OKy09d-KbKJSuuEZCFdkhYjwC0XQjBA/edit?usp=share_link"",""พิจิตร!n453"")+IMPORTRANGE(""https://docs.google.com/spreadsheets/d/16OMuOwy2eVqZcYWOouQtTpa8X1L23h4660uVHc0C8os/edit?usp=share_link"",""พิษณุโลก!n453"")+IMPORTRANGE(""https://docs.google."&amp;"com/spreadsheets/d/1GfgTldLG6k77HXaMQzaafODklYuucJZQNs_GAPEfZyY/edit?usp=share_link"",""เพชรบูรณ์!n453"")+IMPORTRANGE(""https://docs.google.com/spreadsheets/d/1gvTMYAnm7v1yG1BKWFtr0DnaTsq59oW9dwWvFgq6hs0/edit?usp=share_link"",""แพร่!n453"")+IMPORTRANGE("""&amp;"https://docs.google.com/spreadsheets/d/1Wbcosgy-Xa1xXUArJSOenub6EfZHUSzc_bpJFWwQUf0/edit?usp=share_link"",""แม่ฮ่องสอน!n453"")+IMPORTRANGE(""https://docs.google.com/spreadsheets/d/1p7ERhsr0qZeSn-KSOdeHS9r0heI-lHtkcn2OH7hP0jQ/edit?usp=share_link"",""ลำปาง!"&amp;"n453"")+IMPORTRANGE(""https://docs.google.com/spreadsheets/d/1-uUXvimVhiU2U0bMN-xi2te0tS4X7DI2GLPnMjzl8cA/edit?usp=share_link"",""ลำพูน!n453"")+IMPORTRANGE(""https://docs.google.com/spreadsheets/d/17HrOaa5pBUI1onckFfumXB8xlg35qb2uBAFfF1D-Myo/edit?usp=shar"&amp;"e_link"",""สุโขทัย!n453"")+IMPORTRANGE(""https://docs.google.com/spreadsheets/d/1ubs5cl16eYL9gHbdHTJtmtYb9MGzHBs7CAphn8kNCgM/edit?usp=share_link"",""อุตรดิตถ์!n453"")+IMPORTRANGE(""https://docs.google.com/spreadsheets/d/1kII0BjS6CtVrBvI8IrytgPdxDrlyQDyigz"&amp;"MsohRtDMs/edit?usp=share_link"",""อุทัยธานี!n453"")
"),146204.5)</f>
        <v>146204.5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540"/>
      <c r="G454" s="189"/>
      <c r="H454" s="168" t="s">
        <v>12</v>
      </c>
      <c r="I454" s="162"/>
      <c r="J454" s="162"/>
      <c r="K454" s="163"/>
      <c r="L454" s="38">
        <f t="shared" ref="L454:N454" ca="1" si="236">L455+L456</f>
        <v>0</v>
      </c>
      <c r="M454" s="38">
        <f t="shared" si="236"/>
        <v>0</v>
      </c>
      <c r="N454" s="38">
        <f t="shared" si="236"/>
        <v>0</v>
      </c>
      <c r="O454" s="38">
        <f t="shared" ref="O454:O456" ca="1" si="237">IF(L454&gt;0,N454*100/L454,0)</f>
        <v>0</v>
      </c>
      <c r="P454" s="38">
        <f t="shared" ref="P454:P456" si="238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0"/>
      <c r="C455" s="570"/>
      <c r="D455" s="570"/>
      <c r="E455" s="572" t="s">
        <v>18</v>
      </c>
      <c r="F455" s="565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7"/>
        <v>0</v>
      </c>
      <c r="P455" s="45">
        <f t="shared" si="238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0"/>
      <c r="C456" s="570"/>
      <c r="D456" s="570"/>
      <c r="E456" s="572" t="s">
        <v>19</v>
      </c>
      <c r="F456" s="565"/>
      <c r="G456" s="56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xicF4apzSqm0-jIpmueT4kyZtE-Cwn5zskl7GD4loQ/edit?usp=share_link"",""กำแพงเพชร!l456"")+IMPORTRANGE(""https://docs.google.com/spreadsheets/d/1ZNYWeiFoFA1K1U4xKWqRX29MBvEyRHXORjo734Gnq_c/edit?usp=share_li"&amp;"nk"",""เชียงราย!l456"")
+IMPORTRANGE(""https://docs.google.com/spreadsheets/d/1Jgv0Y7YlHDtsiDawwp-uvifEJ8HVaSn0k2aGHG8-hwM/edit?usp=share_link"",""เชียงใหม่!l456"")+IMPORTRANGE(""https://docs.google.com/spreadsheets/d/1JWG2rZePOz9pe-f-ObA-yDr0VoOX2kSb0qIi"&amp;"x2mTUo8/edit?usp=share_link"",""ตาก!l456"")+IMPORTRANGE(""https://docs.google.com/spreadsheets/d/10nSRjK08hx8Y6HgSOQKNw81lyY46Zc7U_Cj72hBMp9U/edit?usp=share_link"",""นครสวรรค์!l456"")+IMPORTRANGE(""https://docs.google.com/spreadsheets/d/1gFVb7qd7amutrIxAA"&amp;"oM7lcy35hllxznovot8lyOfvDo/edit?usp=share_link"",""น่าน!l456"")+IMPORTRANGE(""https://docs.google.com/spreadsheets/d/1K0Aa9s-6EuHE5M0FG1F9aHLXRCOV917xvycTdLdct0w/edit?usp=share_link"",""พะเยา!l456"")+IMPORTRANGE(""https://docs.google.com/spreadsheets/d/1Y"&amp;"9LPKx95PyL5OKy09d-KbKJSuuEZCFdkhYjwC0XQjBA/edit?usp=share_link"",""พิจิตร!l456"")+IMPORTRANGE(""https://docs.google.com/spreadsheets/d/16OMuOwy2eVqZcYWOouQtTpa8X1L23h4660uVHc0C8os/edit?usp=share_link"",""พิษณุโลก!l456"")+IMPORTRANGE(""https://docs.google."&amp;"com/spreadsheets/d/1GfgTldLG6k77HXaMQzaafODklYuucJZQNs_GAPEfZyY/edit?usp=share_link"",""เพชรบูรณ์!l456"")+IMPORTRANGE(""https://docs.google.com/spreadsheets/d/1gvTMYAnm7v1yG1BKWFtr0DnaTsq59oW9dwWvFgq6hs0/edit?usp=share_link"",""แพร่!l456"")+IMPORTRANGE("""&amp;"https://docs.google.com/spreadsheets/d/1Wbcosgy-Xa1xXUArJSOenub6EfZHUSzc_bpJFWwQUf0/edit?usp=share_link"",""แม่ฮ่องสอน!l456"")+IMPORTRANGE(""https://docs.google.com/spreadsheets/d/1p7ERhsr0qZeSn-KSOdeHS9r0heI-lHtkcn2OH7hP0jQ/edit?usp=share_link"",""ลำปาง!"&amp;"l456"")+IMPORTRANGE(""https://docs.google.com/spreadsheets/d/1-uUXvimVhiU2U0bMN-xi2te0tS4X7DI2GLPnMjzl8cA/edit?usp=share_link"",""ลำพูน!l456"")+IMPORTRANGE(""https://docs.google.com/spreadsheets/d/17HrOaa5pBUI1onckFfumXB8xlg35qb2uBAFfF1D-Myo/edit?usp=shar"&amp;"e_link"",""สุโขทัย!l456"")+IMPORTRANGE(""https://docs.google.com/spreadsheets/d/1ubs5cl16eYL9gHbdHTJtmtYb9MGzHBs7CAphn8kNCgM/edit?usp=share_link"",""อุตรดิตถ์!l456"")+IMPORTRANGE(""https://docs.google.com/spreadsheets/d/1kII0BjS6CtVrBvI8IrytgPdxDrlyQDyigz"&amp;"MsohRtDMs/edit?usp=share_link"",""อุทัยธานี!l456"")
"),0)</f>
        <v>0</v>
      </c>
      <c r="M456" s="93">
        <v>0</v>
      </c>
      <c r="N456" s="93">
        <v>0</v>
      </c>
      <c r="O456" s="45">
        <f t="shared" ca="1" si="237"/>
        <v>0</v>
      </c>
      <c r="P456" s="45">
        <f t="shared" si="238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74"/>
      <c r="C457" s="539" t="s">
        <v>16</v>
      </c>
      <c r="D457" s="575" t="s">
        <v>38</v>
      </c>
      <c r="E457" s="576"/>
      <c r="F457" s="577"/>
      <c r="G457" s="578"/>
      <c r="H457" s="175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0"/>
      <c r="C458" s="580"/>
      <c r="D458" s="581" t="s">
        <v>200</v>
      </c>
      <c r="E458" s="580"/>
      <c r="F458" s="566"/>
      <c r="G458" s="582"/>
      <c r="H458" s="583" t="s">
        <v>35</v>
      </c>
      <c r="I458" s="584">
        <v>0</v>
      </c>
      <c r="J458" s="58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0"/>
      <c r="C459" s="580"/>
      <c r="D459" s="581" t="s">
        <v>201</v>
      </c>
      <c r="E459" s="580"/>
      <c r="F459" s="566"/>
      <c r="G459" s="582"/>
      <c r="H459" s="583"/>
      <c r="I459" s="44"/>
      <c r="J459" s="44"/>
      <c r="K459" s="45"/>
      <c r="L459" s="45"/>
      <c r="M459" s="45"/>
      <c r="N459" s="45"/>
      <c r="O459" s="45"/>
      <c r="P459" s="45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74"/>
      <c r="C460" s="574"/>
      <c r="D460" s="585" t="s">
        <v>202</v>
      </c>
      <c r="E460" s="574"/>
      <c r="F460" s="586"/>
      <c r="G460" s="175"/>
      <c r="H460" s="182" t="s">
        <v>35</v>
      </c>
      <c r="I460" s="37">
        <f ca="1">IFERROR(__xludf.DUMMYFUNCTION("IMPORTRANGE(""https://docs.google.com/spreadsheets/d/1KxicF4apzSqm0-jIpmueT4kyZtE-Cwn5zskl7GD4loQ/edit?usp=share_link"",""กำแพงเพชร!I460"")+IMPORTRANGE(""https://docs.google.com/spreadsheets/d/1ZNYWeiFoFA1K1U4xKWqRX29MBvEyRHXORjo734Gnq_c/edit?usp=share_li"&amp;"nk"",""เชียงราย!I460"")
+IMPORTRANGE(""https://docs.google.com/spreadsheets/d/1Jgv0Y7YlHDtsiDawwp-uvifEJ8HVaSn0k2aGHG8-hwM/edit?usp=share_link"",""เชียงใหม่!I460"")+IMPORTRANGE(""https://docs.google.com/spreadsheets/d/1JWG2rZePOz9pe-f-ObA-yDr0VoOX2kSb0qIi"&amp;"x2mTUo8/edit?usp=share_link"",""ตาก!I460"")+IMPORTRANGE(""https://docs.google.com/spreadsheets/d/10nSRjK08hx8Y6HgSOQKNw81lyY46Zc7U_Cj72hBMp9U/edit?usp=share_link"",""นครสวรรค์!I460"")+IMPORTRANGE(""https://docs.google.com/spreadsheets/d/1gFVb7qd7amutrIxAA"&amp;"oM7lcy35hllxznovot8lyOfvDo/edit?usp=share_link"",""น่าน!I460"")+IMPORTRANGE(""https://docs.google.com/spreadsheets/d/1K0Aa9s-6EuHE5M0FG1F9aHLXRCOV917xvycTdLdct0w/edit?usp=share_link"",""พะเยา!I460"")+IMPORTRANGE(""https://docs.google.com/spreadsheets/d/1Y"&amp;"9LPKx95PyL5OKy09d-KbKJSuuEZCFdkhYjwC0XQjBA/edit?usp=share_link"",""พิจิตร!I460"")+IMPORTRANGE(""https://docs.google.com/spreadsheets/d/16OMuOwy2eVqZcYWOouQtTpa8X1L23h4660uVHc0C8os/edit?usp=share_link"",""พิษณุโลก!I460"")+IMPORTRANGE(""https://docs.google."&amp;"com/spreadsheets/d/1GfgTldLG6k77HXaMQzaafODklYuucJZQNs_GAPEfZyY/edit?usp=share_link"",""เพชรบูรณ์!I460"")+IMPORTRANGE(""https://docs.google.com/spreadsheets/d/1gvTMYAnm7v1yG1BKWFtr0DnaTsq59oW9dwWvFgq6hs0/edit?usp=share_link"",""แพร่!I460"")+IMPORTRANGE("""&amp;"https://docs.google.com/spreadsheets/d/1Wbcosgy-Xa1xXUArJSOenub6EfZHUSzc_bpJFWwQUf0/edit?usp=share_link"",""แม่ฮ่องสอน!I460"")+IMPORTRANGE(""https://docs.google.com/spreadsheets/d/1p7ERhsr0qZeSn-KSOdeHS9r0heI-lHtkcn2OH7hP0jQ/edit?usp=share_link"",""ลำปาง!"&amp;"I460"")+IMPORTRANGE(""https://docs.google.com/spreadsheets/d/1-uUXvimVhiU2U0bMN-xi2te0tS4X7DI2GLPnMjzl8cA/edit?usp=share_link"",""ลำพูน!I460"")+IMPORTRANGE(""https://docs.google.com/spreadsheets/d/17HrOaa5pBUI1onckFfumXB8xlg35qb2uBAFfF1D-Myo/edit?usp=shar"&amp;"e_link"",""สุโขทัย!I460"")+IMPORTRANGE(""https://docs.google.com/spreadsheets/d/1ubs5cl16eYL9gHbdHTJtmtYb9MGzHBs7CAphn8kNCgM/edit?usp=share_link"",""อุตรดิตถ์!I460"")+IMPORTRANGE(""https://docs.google.com/spreadsheets/d/1kII0BjS6CtVrBvI8IrytgPdxDrlyQDyigz"&amp;"MsohRtDMs/edit?usp=share_link"",""อุทัยธานี!I460"")
"),860)</f>
        <v>860</v>
      </c>
      <c r="J460" s="183">
        <f ca="1">IFERROR(__xludf.DUMMYFUNCTION("IMPORTRANGE(""https://docs.google.com/spreadsheets/d/1KxicF4apzSqm0-jIpmueT4kyZtE-Cwn5zskl7GD4loQ/edit?usp=share_link"",""กำแพงเพชร!J460"")+IMPORTRANGE(""https://docs.google.com/spreadsheets/d/1ZNYWeiFoFA1K1U4xKWqRX29MBvEyRHXORjo734Gnq_c/edit?usp=share_li"&amp;"nk"",""เชียงราย!J460"")
+IMPORTRANGE(""https://docs.google.com/spreadsheets/d/1Jgv0Y7YlHDtsiDawwp-uvifEJ8HVaSn0k2aGHG8-hwM/edit?usp=share_link"",""เชียงใหม่!J460"")+IMPORTRANGE(""https://docs.google.com/spreadsheets/d/1JWG2rZePOz9pe-f-ObA-yDr0VoOX2kSb0qIi"&amp;"x2mTUo8/edit?usp=share_link"",""ตาก!J460"")+IMPORTRANGE(""https://docs.google.com/spreadsheets/d/10nSRjK08hx8Y6HgSOQKNw81lyY46Zc7U_Cj72hBMp9U/edit?usp=share_link"",""นครสวรรค์!J460"")+IMPORTRANGE(""https://docs.google.com/spreadsheets/d/1gFVb7qd7amutrIxAA"&amp;"oM7lcy35hllxznovot8lyOfvDo/edit?usp=share_link"",""น่าน!J460"")+IMPORTRANGE(""https://docs.google.com/spreadsheets/d/1K0Aa9s-6EuHE5M0FG1F9aHLXRCOV917xvycTdLdct0w/edit?usp=share_link"",""พะเยา!J460"")+IMPORTRANGE(""https://docs.google.com/spreadsheets/d/1Y"&amp;"9LPKx95PyL5OKy09d-KbKJSuuEZCFdkhYjwC0XQjBA/edit?usp=share_link"",""พิจิตร!J460"")+IMPORTRANGE(""https://docs.google.com/spreadsheets/d/16OMuOwy2eVqZcYWOouQtTpa8X1L23h4660uVHc0C8os/edit?usp=share_link"",""พิษณุโลก!J460"")+IMPORTRANGE(""https://docs.google."&amp;"com/spreadsheets/d/1GfgTldLG6k77HXaMQzaafODklYuucJZQNs_GAPEfZyY/edit?usp=share_link"",""เพชรบูรณ์!J460"")+IMPORTRANGE(""https://docs.google.com/spreadsheets/d/1gvTMYAnm7v1yG1BKWFtr0DnaTsq59oW9dwWvFgq6hs0/edit?usp=share_link"",""แพร่!J460"")+IMPORTRANGE("""&amp;"https://docs.google.com/spreadsheets/d/1Wbcosgy-Xa1xXUArJSOenub6EfZHUSzc_bpJFWwQUf0/edit?usp=share_link"",""แม่ฮ่องสอน!J460"")+IMPORTRANGE(""https://docs.google.com/spreadsheets/d/1p7ERhsr0qZeSn-KSOdeHS9r0heI-lHtkcn2OH7hP0jQ/edit?usp=share_link"",""ลำปาง!"&amp;"J460"")+IMPORTRANGE(""https://docs.google.com/spreadsheets/d/1-uUXvimVhiU2U0bMN-xi2te0tS4X7DI2GLPnMjzl8cA/edit?usp=share_link"",""ลำพูน!J460"")+IMPORTRANGE(""https://docs.google.com/spreadsheets/d/17HrOaa5pBUI1onckFfumXB8xlg35qb2uBAFfF1D-Myo/edit?usp=shar"&amp;"e_link"",""สุโขทัย!J460"")+IMPORTRANGE(""https://docs.google.com/spreadsheets/d/1ubs5cl16eYL9gHbdHTJtmtYb9MGzHBs7CAphn8kNCgM/edit?usp=share_link"",""อุตรดิตถ์!J460"")+IMPORTRANGE(""https://docs.google.com/spreadsheets/d/1kII0BjS6CtVrBvI8IrytgPdxDrlyQDyigz"&amp;"MsohRtDMs/edit?usp=share_link"",""อุทัยธานี!J460"")
"),705)</f>
        <v>705</v>
      </c>
      <c r="K460" s="38">
        <f ca="1">IF(I460&gt;0,J460*100/I460,0)</f>
        <v>81.976744186046517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74"/>
      <c r="C461" s="574"/>
      <c r="D461" s="585" t="s">
        <v>203</v>
      </c>
      <c r="E461" s="586"/>
      <c r="F461" s="586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74"/>
      <c r="C462" s="574"/>
      <c r="D462" s="585" t="s">
        <v>204</v>
      </c>
      <c r="E462" s="586"/>
      <c r="F462" s="586"/>
      <c r="G462" s="175"/>
      <c r="H462" s="182" t="s">
        <v>46</v>
      </c>
      <c r="I462" s="37">
        <f ca="1">IFERROR(__xludf.DUMMYFUNCTION("IMPORTRANGE(""https://docs.google.com/spreadsheets/d/1KxicF4apzSqm0-jIpmueT4kyZtE-Cwn5zskl7GD4loQ/edit?usp=share_link"",""กำแพงเพชร!I462"")+IMPORTRANGE(""https://docs.google.com/spreadsheets/d/1ZNYWeiFoFA1K1U4xKWqRX29MBvEyRHXORjo734Gnq_c/edit?usp=share_li"&amp;"nk"",""เชียงราย!I462"")
+IMPORTRANGE(""https://docs.google.com/spreadsheets/d/1Jgv0Y7YlHDtsiDawwp-uvifEJ8HVaSn0k2aGHG8-hwM/edit?usp=share_link"",""เชียงใหม่!I462"")+IMPORTRANGE(""https://docs.google.com/spreadsheets/d/1JWG2rZePOz9pe-f-ObA-yDr0VoOX2kSb0qIi"&amp;"x2mTUo8/edit?usp=share_link"",""ตาก!I462"")+IMPORTRANGE(""https://docs.google.com/spreadsheets/d/10nSRjK08hx8Y6HgSOQKNw81lyY46Zc7U_Cj72hBMp9U/edit?usp=share_link"",""นครสวรรค์!I462"")+IMPORTRANGE(""https://docs.google.com/spreadsheets/d/1gFVb7qd7amutrIxAA"&amp;"oM7lcy35hllxznovot8lyOfvDo/edit?usp=share_link"",""น่าน!I462"")+IMPORTRANGE(""https://docs.google.com/spreadsheets/d/1K0Aa9s-6EuHE5M0FG1F9aHLXRCOV917xvycTdLdct0w/edit?usp=share_link"",""พะเยา!I462"")+IMPORTRANGE(""https://docs.google.com/spreadsheets/d/1Y"&amp;"9LPKx95PyL5OKy09d-KbKJSuuEZCFdkhYjwC0XQjBA/edit?usp=share_link"",""พิจิตร!I462"")+IMPORTRANGE(""https://docs.google.com/spreadsheets/d/16OMuOwy2eVqZcYWOouQtTpa8X1L23h4660uVHc0C8os/edit?usp=share_link"",""พิษณุโลก!I462"")+IMPORTRANGE(""https://docs.google."&amp;"com/spreadsheets/d/1GfgTldLG6k77HXaMQzaafODklYuucJZQNs_GAPEfZyY/edit?usp=share_link"",""เพชรบูรณ์!I462"")+IMPORTRANGE(""https://docs.google.com/spreadsheets/d/1gvTMYAnm7v1yG1BKWFtr0DnaTsq59oW9dwWvFgq6hs0/edit?usp=share_link"",""แพร่!I462"")+IMPORTRANGE("""&amp;"https://docs.google.com/spreadsheets/d/1Wbcosgy-Xa1xXUArJSOenub6EfZHUSzc_bpJFWwQUf0/edit?usp=share_link"",""แม่ฮ่องสอน!I462"")+IMPORTRANGE(""https://docs.google.com/spreadsheets/d/1p7ERhsr0qZeSn-KSOdeHS9r0heI-lHtkcn2OH7hP0jQ/edit?usp=share_link"",""ลำปาง!"&amp;"I462"")+IMPORTRANGE(""https://docs.google.com/spreadsheets/d/1-uUXvimVhiU2U0bMN-xi2te0tS4X7DI2GLPnMjzl8cA/edit?usp=share_link"",""ลำพูน!I462"")+IMPORTRANGE(""https://docs.google.com/spreadsheets/d/17HrOaa5pBUI1onckFfumXB8xlg35qb2uBAFfF1D-Myo/edit?usp=shar"&amp;"e_link"",""สุโขทัย!I462"")+IMPORTRANGE(""https://docs.google.com/spreadsheets/d/1ubs5cl16eYL9gHbdHTJtmtYb9MGzHBs7CAphn8kNCgM/edit?usp=share_link"",""อุตรดิตถ์!I462"")+IMPORTRANGE(""https://docs.google.com/spreadsheets/d/1kII0BjS6CtVrBvI8IrytgPdxDrlyQDyigz"&amp;"MsohRtDMs/edit?usp=share_link"",""อุทัยธานี!I462"")
"),2205)</f>
        <v>2205</v>
      </c>
      <c r="J462" s="183">
        <f ca="1">IFERROR(__xludf.DUMMYFUNCTION("IMPORTRANGE(""https://docs.google.com/spreadsheets/d/1KxicF4apzSqm0-jIpmueT4kyZtE-Cwn5zskl7GD4loQ/edit?usp=share_link"",""กำแพงเพชร!J462"")+IMPORTRANGE(""https://docs.google.com/spreadsheets/d/1ZNYWeiFoFA1K1U4xKWqRX29MBvEyRHXORjo734Gnq_c/edit?usp=share_li"&amp;"nk"",""เชียงราย!J462"")
+IMPORTRANGE(""https://docs.google.com/spreadsheets/d/1Jgv0Y7YlHDtsiDawwp-uvifEJ8HVaSn0k2aGHG8-hwM/edit?usp=share_link"",""เชียงใหม่!J462"")+IMPORTRANGE(""https://docs.google.com/spreadsheets/d/1JWG2rZePOz9pe-f-ObA-yDr0VoOX2kSb0qIi"&amp;"x2mTUo8/edit?usp=share_link"",""ตาก!J462"")+IMPORTRANGE(""https://docs.google.com/spreadsheets/d/10nSRjK08hx8Y6HgSOQKNw81lyY46Zc7U_Cj72hBMp9U/edit?usp=share_link"",""นครสวรรค์!J462"")+IMPORTRANGE(""https://docs.google.com/spreadsheets/d/1gFVb7qd7amutrIxAA"&amp;"oM7lcy35hllxznovot8lyOfvDo/edit?usp=share_link"",""น่าน!J462"")+IMPORTRANGE(""https://docs.google.com/spreadsheets/d/1K0Aa9s-6EuHE5M0FG1F9aHLXRCOV917xvycTdLdct0w/edit?usp=share_link"",""พะเยา!J462"")+IMPORTRANGE(""https://docs.google.com/spreadsheets/d/1Y"&amp;"9LPKx95PyL5OKy09d-KbKJSuuEZCFdkhYjwC0XQjBA/edit?usp=share_link"",""พิจิตร!J462"")+IMPORTRANGE(""https://docs.google.com/spreadsheets/d/16OMuOwy2eVqZcYWOouQtTpa8X1L23h4660uVHc0C8os/edit?usp=share_link"",""พิษณุโลก!J462"")+IMPORTRANGE(""https://docs.google."&amp;"com/spreadsheets/d/1GfgTldLG6k77HXaMQzaafODklYuucJZQNs_GAPEfZyY/edit?usp=share_link"",""เพชรบูรณ์!J462"")+IMPORTRANGE(""https://docs.google.com/spreadsheets/d/1gvTMYAnm7v1yG1BKWFtr0DnaTsq59oW9dwWvFgq6hs0/edit?usp=share_link"",""แพร่!J462"")+IMPORTRANGE("""&amp;"https://docs.google.com/spreadsheets/d/1Wbcosgy-Xa1xXUArJSOenub6EfZHUSzc_bpJFWwQUf0/edit?usp=share_link"",""แม่ฮ่องสอน!J462"")+IMPORTRANGE(""https://docs.google.com/spreadsheets/d/1p7ERhsr0qZeSn-KSOdeHS9r0heI-lHtkcn2OH7hP0jQ/edit?usp=share_link"",""ลำปาง!"&amp;"J462"")+IMPORTRANGE(""https://docs.google.com/spreadsheets/d/1-uUXvimVhiU2U0bMN-xi2te0tS4X7DI2GLPnMjzl8cA/edit?usp=share_link"",""ลำพูน!J462"")+IMPORTRANGE(""https://docs.google.com/spreadsheets/d/17HrOaa5pBUI1onckFfumXB8xlg35qb2uBAFfF1D-Myo/edit?usp=shar"&amp;"e_link"",""สุโขทัย!J462"")+IMPORTRANGE(""https://docs.google.com/spreadsheets/d/1ubs5cl16eYL9gHbdHTJtmtYb9MGzHBs7CAphn8kNCgM/edit?usp=share_link"",""อุตรดิตถ์!J462"")+IMPORTRANGE(""https://docs.google.com/spreadsheets/d/1kII0BjS6CtVrBvI8IrytgPdxDrlyQDyigz"&amp;"MsohRtDMs/edit?usp=share_link"",""อุทัยธานี!J462"")
"),1167)</f>
        <v>1167</v>
      </c>
      <c r="K462" s="38">
        <f ca="1">IF(I462&gt;0,J462*100/I462,0)</f>
        <v>52.925170068027214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74"/>
      <c r="C463" s="574"/>
      <c r="D463" s="585" t="s">
        <v>59</v>
      </c>
      <c r="E463" s="586"/>
      <c r="F463" s="540"/>
      <c r="G463" s="189"/>
      <c r="H463" s="182" t="s">
        <v>46</v>
      </c>
      <c r="I463" s="270">
        <f ca="1">IFERROR(__xludf.DUMMYFUNCTION("IMPORTRANGE(""https://docs.google.com/spreadsheets/d/1KxicF4apzSqm0-jIpmueT4kyZtE-Cwn5zskl7GD4loQ/edit?usp=share_link"",""กำแพงเพชร!I463"")+IMPORTRANGE(""https://docs.google.com/spreadsheets/d/1ZNYWeiFoFA1K1U4xKWqRX29MBvEyRHXORjo734Gnq_c/edit?usp=share_li"&amp;"nk"",""เชียงราย!I463"")
+IMPORTRANGE(""https://docs.google.com/spreadsheets/d/1Jgv0Y7YlHDtsiDawwp-uvifEJ8HVaSn0k2aGHG8-hwM/edit?usp=share_link"",""เชียงใหม่!I463"")+IMPORTRANGE(""https://docs.google.com/spreadsheets/d/1JWG2rZePOz9pe-f-ObA-yDr0VoOX2kSb0qIi"&amp;"x2mTUo8/edit?usp=share_link"",""ตาก!I463"")+IMPORTRANGE(""https://docs.google.com/spreadsheets/d/10nSRjK08hx8Y6HgSOQKNw81lyY46Zc7U_Cj72hBMp9U/edit?usp=share_link"",""นครสวรรค์!I463"")+IMPORTRANGE(""https://docs.google.com/spreadsheets/d/1gFVb7qd7amutrIxAA"&amp;"oM7lcy35hllxznovot8lyOfvDo/edit?usp=share_link"",""น่าน!I463"")+IMPORTRANGE(""https://docs.google.com/spreadsheets/d/1K0Aa9s-6EuHE5M0FG1F9aHLXRCOV917xvycTdLdct0w/edit?usp=share_link"",""พะเยา!I463"")+IMPORTRANGE(""https://docs.google.com/spreadsheets/d/1Y"&amp;"9LPKx95PyL5OKy09d-KbKJSuuEZCFdkhYjwC0XQjBA/edit?usp=share_link"",""พิจิตร!I463"")+IMPORTRANGE(""https://docs.google.com/spreadsheets/d/16OMuOwy2eVqZcYWOouQtTpa8X1L23h4660uVHc0C8os/edit?usp=share_link"",""พิษณุโลก!I463"")+IMPORTRANGE(""https://docs.google."&amp;"com/spreadsheets/d/1GfgTldLG6k77HXaMQzaafODklYuucJZQNs_GAPEfZyY/edit?usp=share_link"",""เพชรบูรณ์!I463"")+IMPORTRANGE(""https://docs.google.com/spreadsheets/d/1gvTMYAnm7v1yG1BKWFtr0DnaTsq59oW9dwWvFgq6hs0/edit?usp=share_link"",""แพร่!I463"")+IMPORTRANGE("""&amp;"https://docs.google.com/spreadsheets/d/1Wbcosgy-Xa1xXUArJSOenub6EfZHUSzc_bpJFWwQUf0/edit?usp=share_link"",""แม่ฮ่องสอน!I463"")+IMPORTRANGE(""https://docs.google.com/spreadsheets/d/1p7ERhsr0qZeSn-KSOdeHS9r0heI-lHtkcn2OH7hP0jQ/edit?usp=share_link"",""ลำปาง!"&amp;"I463"")+IMPORTRANGE(""https://docs.google.com/spreadsheets/d/1-uUXvimVhiU2U0bMN-xi2te0tS4X7DI2GLPnMjzl8cA/edit?usp=share_link"",""ลำพูน!I463"")+IMPORTRANGE(""https://docs.google.com/spreadsheets/d/17HrOaa5pBUI1onckFfumXB8xlg35qb2uBAFfF1D-Myo/edit?usp=shar"&amp;"e_link"",""สุโขทัย!I463"")+IMPORTRANGE(""https://docs.google.com/spreadsheets/d/1ubs5cl16eYL9gHbdHTJtmtYb9MGzHBs7CAphn8kNCgM/edit?usp=share_link"",""อุตรดิตถ์!I463"")+IMPORTRANGE(""https://docs.google.com/spreadsheets/d/1kII0BjS6CtVrBvI8IrytgPdxDrlyQDyigz"&amp;"MsohRtDMs/edit?usp=share_link"",""อุทัยธานี!I463"")
"),2205)</f>
        <v>2205</v>
      </c>
      <c r="J463" s="183">
        <f ca="1">IFERROR(__xludf.DUMMYFUNCTION("IMPORTRANGE(""https://docs.google.com/spreadsheets/d/1KxicF4apzSqm0-jIpmueT4kyZtE-Cwn5zskl7GD4loQ/edit?usp=share_link"",""กำแพงเพชร!J463"")+IMPORTRANGE(""https://docs.google.com/spreadsheets/d/1ZNYWeiFoFA1K1U4xKWqRX29MBvEyRHXORjo734Gnq_c/edit?usp=share_li"&amp;"nk"",""เชียงราย!J463"")
+IMPORTRANGE(""https://docs.google.com/spreadsheets/d/1Jgv0Y7YlHDtsiDawwp-uvifEJ8HVaSn0k2aGHG8-hwM/edit?usp=share_link"",""เชียงใหม่!J463"")+IMPORTRANGE(""https://docs.google.com/spreadsheets/d/1JWG2rZePOz9pe-f-ObA-yDr0VoOX2kSb0qIi"&amp;"x2mTUo8/edit?usp=share_link"",""ตาก!J463"")+IMPORTRANGE(""https://docs.google.com/spreadsheets/d/10nSRjK08hx8Y6HgSOQKNw81lyY46Zc7U_Cj72hBMp9U/edit?usp=share_link"",""นครสวรรค์!J463"")+IMPORTRANGE(""https://docs.google.com/spreadsheets/d/1gFVb7qd7amutrIxAA"&amp;"oM7lcy35hllxznovot8lyOfvDo/edit?usp=share_link"",""น่าน!J463"")+IMPORTRANGE(""https://docs.google.com/spreadsheets/d/1K0Aa9s-6EuHE5M0FG1F9aHLXRCOV917xvycTdLdct0w/edit?usp=share_link"",""พะเยา!J463"")+IMPORTRANGE(""https://docs.google.com/spreadsheets/d/1Y"&amp;"9LPKx95PyL5OKy09d-KbKJSuuEZCFdkhYjwC0XQjBA/edit?usp=share_link"",""พิจิตร!J463"")+IMPORTRANGE(""https://docs.google.com/spreadsheets/d/16OMuOwy2eVqZcYWOouQtTpa8X1L23h4660uVHc0C8os/edit?usp=share_link"",""พิษณุโลก!J463"")+IMPORTRANGE(""https://docs.google."&amp;"com/spreadsheets/d/1GfgTldLG6k77HXaMQzaafODklYuucJZQNs_GAPEfZyY/edit?usp=share_link"",""เพชรบูรณ์!J463"")+IMPORTRANGE(""https://docs.google.com/spreadsheets/d/1gvTMYAnm7v1yG1BKWFtr0DnaTsq59oW9dwWvFgq6hs0/edit?usp=share_link"",""แพร่!J463"")+IMPORTRANGE("""&amp;"https://docs.google.com/spreadsheets/d/1Wbcosgy-Xa1xXUArJSOenub6EfZHUSzc_bpJFWwQUf0/edit?usp=share_link"",""แม่ฮ่องสอน!J463"")+IMPORTRANGE(""https://docs.google.com/spreadsheets/d/1p7ERhsr0qZeSn-KSOdeHS9r0heI-lHtkcn2OH7hP0jQ/edit?usp=share_link"",""ลำปาง!"&amp;"J463"")+IMPORTRANGE(""https://docs.google.com/spreadsheets/d/1-uUXvimVhiU2U0bMN-xi2te0tS4X7DI2GLPnMjzl8cA/edit?usp=share_link"",""ลำพูน!J463"")+IMPORTRANGE(""https://docs.google.com/spreadsheets/d/17HrOaa5pBUI1onckFfumXB8xlg35qb2uBAFfF1D-Myo/edit?usp=shar"&amp;"e_link"",""สุโขทัย!J463"")+IMPORTRANGE(""https://docs.google.com/spreadsheets/d/1ubs5cl16eYL9gHbdHTJtmtYb9MGzHBs7CAphn8kNCgM/edit?usp=share_link"",""อุตรดิตถ์!J463"")+IMPORTRANGE(""https://docs.google.com/spreadsheets/d/1kII0BjS6CtVrBvI8IrytgPdxDrlyQDyigz"&amp;"MsohRtDMs/edit?usp=share_link"",""อุทัยธานี!J463"")
"),260)</f>
        <v>260</v>
      </c>
      <c r="K463" s="38"/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74"/>
      <c r="C464" s="574"/>
      <c r="D464" s="574"/>
      <c r="E464" s="586"/>
      <c r="F464" s="586"/>
      <c r="G464" s="587"/>
      <c r="H464" s="182" t="s">
        <v>35</v>
      </c>
      <c r="I464" s="270">
        <f ca="1">IFERROR(__xludf.DUMMYFUNCTION("IMPORTRANGE(""https://docs.google.com/spreadsheets/d/1KxicF4apzSqm0-jIpmueT4kyZtE-Cwn5zskl7GD4loQ/edit?usp=share_link"",""กำแพงเพชร!I464"")+IMPORTRANGE(""https://docs.google.com/spreadsheets/d/1ZNYWeiFoFA1K1U4xKWqRX29MBvEyRHXORjo734Gnq_c/edit?usp=share_li"&amp;"nk"",""เชียงราย!I464"")
+IMPORTRANGE(""https://docs.google.com/spreadsheets/d/1Jgv0Y7YlHDtsiDawwp-uvifEJ8HVaSn0k2aGHG8-hwM/edit?usp=share_link"",""เชียงใหม่!I464"")+IMPORTRANGE(""https://docs.google.com/spreadsheets/d/1JWG2rZePOz9pe-f-ObA-yDr0VoOX2kSb0qIi"&amp;"x2mTUo8/edit?usp=share_link"",""ตาก!I464"")+IMPORTRANGE(""https://docs.google.com/spreadsheets/d/10nSRjK08hx8Y6HgSOQKNw81lyY46Zc7U_Cj72hBMp9U/edit?usp=share_link"",""นครสวรรค์!I464"")+IMPORTRANGE(""https://docs.google.com/spreadsheets/d/1gFVb7qd7amutrIxAA"&amp;"oM7lcy35hllxznovot8lyOfvDo/edit?usp=share_link"",""น่าน!I464"")+IMPORTRANGE(""https://docs.google.com/spreadsheets/d/1K0Aa9s-6EuHE5M0FG1F9aHLXRCOV917xvycTdLdct0w/edit?usp=share_link"",""พะเยา!I464"")+IMPORTRANGE(""https://docs.google.com/spreadsheets/d/1Y"&amp;"9LPKx95PyL5OKy09d-KbKJSuuEZCFdkhYjwC0XQjBA/edit?usp=share_link"",""พิจิตร!I464"")+IMPORTRANGE(""https://docs.google.com/spreadsheets/d/16OMuOwy2eVqZcYWOouQtTpa8X1L23h4660uVHc0C8os/edit?usp=share_link"",""พิษณุโลก!I464"")+IMPORTRANGE(""https://docs.google."&amp;"com/spreadsheets/d/1GfgTldLG6k77HXaMQzaafODklYuucJZQNs_GAPEfZyY/edit?usp=share_link"",""เพชรบูรณ์!I464"")+IMPORTRANGE(""https://docs.google.com/spreadsheets/d/1gvTMYAnm7v1yG1BKWFtr0DnaTsq59oW9dwWvFgq6hs0/edit?usp=share_link"",""แพร่!I464"")+IMPORTRANGE("""&amp;"https://docs.google.com/spreadsheets/d/1Wbcosgy-Xa1xXUArJSOenub6EfZHUSzc_bpJFWwQUf0/edit?usp=share_link"",""แม่ฮ่องสอน!I464"")+IMPORTRANGE(""https://docs.google.com/spreadsheets/d/1p7ERhsr0qZeSn-KSOdeHS9r0heI-lHtkcn2OH7hP0jQ/edit?usp=share_link"",""ลำปาง!"&amp;"I464"")+IMPORTRANGE(""https://docs.google.com/spreadsheets/d/1-uUXvimVhiU2U0bMN-xi2te0tS4X7DI2GLPnMjzl8cA/edit?usp=share_link"",""ลำพูน!I464"")+IMPORTRANGE(""https://docs.google.com/spreadsheets/d/17HrOaa5pBUI1onckFfumXB8xlg35qb2uBAFfF1D-Myo/edit?usp=shar"&amp;"e_link"",""สุโขทัย!I464"")+IMPORTRANGE(""https://docs.google.com/spreadsheets/d/1ubs5cl16eYL9gHbdHTJtmtYb9MGzHBs7CAphn8kNCgM/edit?usp=share_link"",""อุตรดิตถ์!I464"")+IMPORTRANGE(""https://docs.google.com/spreadsheets/d/1kII0BjS6CtVrBvI8IrytgPdxDrlyQDyigz"&amp;"MsohRtDMs/edit?usp=share_link"",""อุทัยธานี!I464"")
"),860)</f>
        <v>860</v>
      </c>
      <c r="J464" s="183">
        <f ca="1">IFERROR(__xludf.DUMMYFUNCTION("IMPORTRANGE(""https://docs.google.com/spreadsheets/d/1KxicF4apzSqm0-jIpmueT4kyZtE-Cwn5zskl7GD4loQ/edit?usp=share_link"",""กำแพงเพชร!J464"")+IMPORTRANGE(""https://docs.google.com/spreadsheets/d/1ZNYWeiFoFA1K1U4xKWqRX29MBvEyRHXORjo734Gnq_c/edit?usp=share_li"&amp;"nk"",""เชียงราย!J464"")
+IMPORTRANGE(""https://docs.google.com/spreadsheets/d/1Jgv0Y7YlHDtsiDawwp-uvifEJ8HVaSn0k2aGHG8-hwM/edit?usp=share_link"",""เชียงใหม่!J464"")+IMPORTRANGE(""https://docs.google.com/spreadsheets/d/1JWG2rZePOz9pe-f-ObA-yDr0VoOX2kSb0qIi"&amp;"x2mTUo8/edit?usp=share_link"",""ตาก!J464"")+IMPORTRANGE(""https://docs.google.com/spreadsheets/d/10nSRjK08hx8Y6HgSOQKNw81lyY46Zc7U_Cj72hBMp9U/edit?usp=share_link"",""นครสวรรค์!J464"")+IMPORTRANGE(""https://docs.google.com/spreadsheets/d/1gFVb7qd7amutrIxAA"&amp;"oM7lcy35hllxznovot8lyOfvDo/edit?usp=share_link"",""น่าน!J464"")+IMPORTRANGE(""https://docs.google.com/spreadsheets/d/1K0Aa9s-6EuHE5M0FG1F9aHLXRCOV917xvycTdLdct0w/edit?usp=share_link"",""พะเยา!J464"")+IMPORTRANGE(""https://docs.google.com/spreadsheets/d/1Y"&amp;"9LPKx95PyL5OKy09d-KbKJSuuEZCFdkhYjwC0XQjBA/edit?usp=share_link"",""พิจิตร!J464"")+IMPORTRANGE(""https://docs.google.com/spreadsheets/d/16OMuOwy2eVqZcYWOouQtTpa8X1L23h4660uVHc0C8os/edit?usp=share_link"",""พิษณุโลก!J464"")+IMPORTRANGE(""https://docs.google."&amp;"com/spreadsheets/d/1GfgTldLG6k77HXaMQzaafODklYuucJZQNs_GAPEfZyY/edit?usp=share_link"",""เพชรบูรณ์!J464"")+IMPORTRANGE(""https://docs.google.com/spreadsheets/d/1gvTMYAnm7v1yG1BKWFtr0DnaTsq59oW9dwWvFgq6hs0/edit?usp=share_link"",""แพร่!J464"")+IMPORTRANGE("""&amp;"https://docs.google.com/spreadsheets/d/1Wbcosgy-Xa1xXUArJSOenub6EfZHUSzc_bpJFWwQUf0/edit?usp=share_link"",""แม่ฮ่องสอน!J464"")+IMPORTRANGE(""https://docs.google.com/spreadsheets/d/1p7ERhsr0qZeSn-KSOdeHS9r0heI-lHtkcn2OH7hP0jQ/edit?usp=share_link"",""ลำปาง!"&amp;"J464"")+IMPORTRANGE(""https://docs.google.com/spreadsheets/d/1-uUXvimVhiU2U0bMN-xi2te0tS4X7DI2GLPnMjzl8cA/edit?usp=share_link"",""ลำพูน!J464"")+IMPORTRANGE(""https://docs.google.com/spreadsheets/d/17HrOaa5pBUI1onckFfumXB8xlg35qb2uBAFfF1D-Myo/edit?usp=shar"&amp;"e_link"",""สุโขทัย!J464"")+IMPORTRANGE(""https://docs.google.com/spreadsheets/d/1ubs5cl16eYL9gHbdHTJtmtYb9MGzHBs7CAphn8kNCgM/edit?usp=share_link"",""อุตรดิตถ์!J464"")+IMPORTRANGE(""https://docs.google.com/spreadsheets/d/1kII0BjS6CtVrBvI8IrytgPdxDrlyQDyigz"&amp;"MsohRtDMs/edit?usp=share_link"",""อุทัยธานี!J464"")
"),150)</f>
        <v>150</v>
      </c>
      <c r="K464" s="38"/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KxicF4apzSqm0-jIpmueT4kyZtE-Cwn5zskl7GD4loQ/edit?usp=share_link"",""กำแพงเพชร!I465"")+IMPORTRANGE(""https://docs.google.com/spreadsheets/d/1ZNYWeiFoFA1K1U4xKWqRX29MBvEyRHXORjo734Gnq_c/edit?usp=share_li"&amp;"nk"",""เชียงราย!I465"")
+IMPORTRANGE(""https://docs.google.com/spreadsheets/d/1Jgv0Y7YlHDtsiDawwp-uvifEJ8HVaSn0k2aGHG8-hwM/edit?usp=share_link"",""เชียงใหม่!I465"")+IMPORTRANGE(""https://docs.google.com/spreadsheets/d/1JWG2rZePOz9pe-f-ObA-yDr0VoOX2kSb0qIi"&amp;"x2mTUo8/edit?usp=share_link"",""ตาก!I465"")+IMPORTRANGE(""https://docs.google.com/spreadsheets/d/10nSRjK08hx8Y6HgSOQKNw81lyY46Zc7U_Cj72hBMp9U/edit?usp=share_link"",""นครสวรรค์!I465"")+IMPORTRANGE(""https://docs.google.com/spreadsheets/d/1gFVb7qd7amutrIxAA"&amp;"oM7lcy35hllxznovot8lyOfvDo/edit?usp=share_link"",""น่าน!I465"")+IMPORTRANGE(""https://docs.google.com/spreadsheets/d/1K0Aa9s-6EuHE5M0FG1F9aHLXRCOV917xvycTdLdct0w/edit?usp=share_link"",""พะเยา!I465"")+IMPORTRANGE(""https://docs.google.com/spreadsheets/d/1Y"&amp;"9LPKx95PyL5OKy09d-KbKJSuuEZCFdkhYjwC0XQjBA/edit?usp=share_link"",""พิจิตร!I465"")+IMPORTRANGE(""https://docs.google.com/spreadsheets/d/16OMuOwy2eVqZcYWOouQtTpa8X1L23h4660uVHc0C8os/edit?usp=share_link"",""พิษณุโลก!I465"")+IMPORTRANGE(""https://docs.google."&amp;"com/spreadsheets/d/1GfgTldLG6k77HXaMQzaafODklYuucJZQNs_GAPEfZyY/edit?usp=share_link"",""เพชรบูรณ์!I465"")+IMPORTRANGE(""https://docs.google.com/spreadsheets/d/1gvTMYAnm7v1yG1BKWFtr0DnaTsq59oW9dwWvFgq6hs0/edit?usp=share_link"",""แพร่!I465"")+IMPORTRANGE("""&amp;"https://docs.google.com/spreadsheets/d/1Wbcosgy-Xa1xXUArJSOenub6EfZHUSzc_bpJFWwQUf0/edit?usp=share_link"",""แม่ฮ่องสอน!I465"")+IMPORTRANGE(""https://docs.google.com/spreadsheets/d/1p7ERhsr0qZeSn-KSOdeHS9r0heI-lHtkcn2OH7hP0jQ/edit?usp=share_link"",""ลำปาง!"&amp;"I465"")+IMPORTRANGE(""https://docs.google.com/spreadsheets/d/1-uUXvimVhiU2U0bMN-xi2te0tS4X7DI2GLPnMjzl8cA/edit?usp=share_link"",""ลำพูน!I465"")+IMPORTRANGE(""https://docs.google.com/spreadsheets/d/17HrOaa5pBUI1onckFfumXB8xlg35qb2uBAFfF1D-Myo/edit?usp=shar"&amp;"e_link"",""สุโขทัย!I465"")+IMPORTRANGE(""https://docs.google.com/spreadsheets/d/1ubs5cl16eYL9gHbdHTJtmtYb9MGzHBs7CAphn8kNCgM/edit?usp=share_link"",""อุตรดิตถ์!I465"")+IMPORTRANGE(""https://docs.google.com/spreadsheets/d/1kII0BjS6CtVrBvI8IrytgPdxDrlyQDyigz"&amp;"MsohRtDMs/edit?usp=share_link"",""อุทัยธานี!I465"")
"),1327)</f>
        <v>1327</v>
      </c>
      <c r="J465" s="555">
        <f ca="1">J485+J489+J492</f>
        <v>1097</v>
      </c>
      <c r="K465" s="556">
        <f t="shared" ref="K465:K466" ca="1" si="239">IF(I465&gt;0,J465*100/I465,0)</f>
        <v>82.667671439336857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KxicF4apzSqm0-jIpmueT4kyZtE-Cwn5zskl7GD4loQ/edit?usp=share_link"",""กำแพงเพชร!I466"")+IMPORTRANGE(""https://docs.google.com/spreadsheets/d/1ZNYWeiFoFA1K1U4xKWqRX29MBvEyRHXORjo734Gnq_c/edit?usp=share_li"&amp;"nk"",""เชียงราย!I466"")
+IMPORTRANGE(""https://docs.google.com/spreadsheets/d/1Jgv0Y7YlHDtsiDawwp-uvifEJ8HVaSn0k2aGHG8-hwM/edit?usp=share_link"",""เชียงใหม่!I466"")+IMPORTRANGE(""https://docs.google.com/spreadsheets/d/1JWG2rZePOz9pe-f-ObA-yDr0VoOX2kSb0qIi"&amp;"x2mTUo8/edit?usp=share_link"",""ตาก!I466"")+IMPORTRANGE(""https://docs.google.com/spreadsheets/d/10nSRjK08hx8Y6HgSOQKNw81lyY46Zc7U_Cj72hBMp9U/edit?usp=share_link"",""นครสวรรค์!I466"")+IMPORTRANGE(""https://docs.google.com/spreadsheets/d/1gFVb7qd7amutrIxAA"&amp;"oM7lcy35hllxznovot8lyOfvDo/edit?usp=share_link"",""น่าน!I466"")+IMPORTRANGE(""https://docs.google.com/spreadsheets/d/1K0Aa9s-6EuHE5M0FG1F9aHLXRCOV917xvycTdLdct0w/edit?usp=share_link"",""พะเยา!I466"")+IMPORTRANGE(""https://docs.google.com/spreadsheets/d/1Y"&amp;"9LPKx95PyL5OKy09d-KbKJSuuEZCFdkhYjwC0XQjBA/edit?usp=share_link"",""พิจิตร!I466"")+IMPORTRANGE(""https://docs.google.com/spreadsheets/d/16OMuOwy2eVqZcYWOouQtTpa8X1L23h4660uVHc0C8os/edit?usp=share_link"",""พิษณุโลก!I466"")+IMPORTRANGE(""https://docs.google."&amp;"com/spreadsheets/d/1GfgTldLG6k77HXaMQzaafODklYuucJZQNs_GAPEfZyY/edit?usp=share_link"",""เพชรบูรณ์!I466"")+IMPORTRANGE(""https://docs.google.com/spreadsheets/d/1gvTMYAnm7v1yG1BKWFtr0DnaTsq59oW9dwWvFgq6hs0/edit?usp=share_link"",""แพร่!I466"")+IMPORTRANGE("""&amp;"https://docs.google.com/spreadsheets/d/1Wbcosgy-Xa1xXUArJSOenub6EfZHUSzc_bpJFWwQUf0/edit?usp=share_link"",""แม่ฮ่องสอน!I466"")+IMPORTRANGE(""https://docs.google.com/spreadsheets/d/1p7ERhsr0qZeSn-KSOdeHS9r0heI-lHtkcn2OH7hP0jQ/edit?usp=share_link"",""ลำปาง!"&amp;"I466"")+IMPORTRANGE(""https://docs.google.com/spreadsheets/d/1-uUXvimVhiU2U0bMN-xi2te0tS4X7DI2GLPnMjzl8cA/edit?usp=share_link"",""ลำพูน!I466"")+IMPORTRANGE(""https://docs.google.com/spreadsheets/d/17HrOaa5pBUI1onckFfumXB8xlg35qb2uBAFfF1D-Myo/edit?usp=shar"&amp;"e_link"",""สุโขทัย!I466"")+IMPORTRANGE(""https://docs.google.com/spreadsheets/d/1ubs5cl16eYL9gHbdHTJtmtYb9MGzHBs7CAphn8kNCgM/edit?usp=share_link"",""อุตรดิตถ์!I466"")+IMPORTRANGE(""https://docs.google.com/spreadsheets/d/1kII0BjS6CtVrBvI8IrytgPdxDrlyQDyigz"&amp;"MsohRtDMs/edit?usp=share_link"",""อุทัยธานี!I466"")
"),13100)</f>
        <v>13100</v>
      </c>
      <c r="J466" s="533">
        <f ca="1">J495+J498</f>
        <v>50</v>
      </c>
      <c r="K466" s="534">
        <f t="shared" ca="1" si="239"/>
        <v>0.38167938931297712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540"/>
      <c r="C467" s="540" t="s">
        <v>16</v>
      </c>
      <c r="D467" s="929" t="s">
        <v>17</v>
      </c>
      <c r="E467" s="923"/>
      <c r="F467" s="923"/>
      <c r="G467" s="189"/>
      <c r="H467" s="563" t="s">
        <v>12</v>
      </c>
      <c r="I467" s="37"/>
      <c r="J467" s="37"/>
      <c r="K467" s="38"/>
      <c r="L467" s="195">
        <f t="shared" ref="L467:N467" ca="1" si="240">L468+L469</f>
        <v>11550678</v>
      </c>
      <c r="M467" s="195">
        <f t="shared" si="240"/>
        <v>0</v>
      </c>
      <c r="N467" s="195">
        <f t="shared" ca="1" si="240"/>
        <v>1627503.69</v>
      </c>
      <c r="O467" s="195">
        <f t="shared" ref="O467:O472" ca="1" si="241">IF(L467&gt;0,N467*100/L467,0)</f>
        <v>14.090113930974441</v>
      </c>
      <c r="P467" s="195">
        <f t="shared" ref="P467:P472" si="242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565"/>
      <c r="C468" s="565"/>
      <c r="D468" s="566"/>
      <c r="E468" s="567" t="s">
        <v>184</v>
      </c>
      <c r="F468" s="565"/>
      <c r="G468" s="568"/>
      <c r="H468" s="165" t="s">
        <v>12</v>
      </c>
      <c r="I468" s="44"/>
      <c r="J468" s="44"/>
      <c r="K468" s="45"/>
      <c r="L468" s="45">
        <f t="shared" ref="L468:N468" si="243">L471+L478</f>
        <v>0</v>
      </c>
      <c r="M468" s="45">
        <f t="shared" si="243"/>
        <v>0</v>
      </c>
      <c r="N468" s="45">
        <f t="shared" si="243"/>
        <v>0</v>
      </c>
      <c r="O468" s="45">
        <f t="shared" si="241"/>
        <v>0</v>
      </c>
      <c r="P468" s="45">
        <f t="shared" si="242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0"/>
      <c r="C469" s="565"/>
      <c r="D469" s="566"/>
      <c r="E469" s="567" t="s">
        <v>185</v>
      </c>
      <c r="F469" s="565"/>
      <c r="G469" s="568"/>
      <c r="H469" s="165" t="s">
        <v>12</v>
      </c>
      <c r="I469" s="44"/>
      <c r="J469" s="44"/>
      <c r="K469" s="45"/>
      <c r="L469" s="45">
        <f t="shared" ref="L469:N469" ca="1" si="244">L472+L479</f>
        <v>11550678</v>
      </c>
      <c r="M469" s="45">
        <f t="shared" si="244"/>
        <v>0</v>
      </c>
      <c r="N469" s="45">
        <f t="shared" ca="1" si="244"/>
        <v>1627503.69</v>
      </c>
      <c r="O469" s="45">
        <f t="shared" ca="1" si="241"/>
        <v>14.090113930974441</v>
      </c>
      <c r="P469" s="45">
        <f t="shared" si="242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540"/>
      <c r="D470" s="571" t="s">
        <v>20</v>
      </c>
      <c r="E470" s="540"/>
      <c r="F470" s="540"/>
      <c r="G470" s="189"/>
      <c r="H470" s="161" t="s">
        <v>12</v>
      </c>
      <c r="I470" s="162"/>
      <c r="J470" s="162"/>
      <c r="K470" s="163"/>
      <c r="L470" s="38">
        <f t="shared" ref="L470:N470" ca="1" si="245">L471+L472</f>
        <v>11550678</v>
      </c>
      <c r="M470" s="38">
        <f t="shared" si="245"/>
        <v>0</v>
      </c>
      <c r="N470" s="38">
        <f t="shared" ca="1" si="245"/>
        <v>1627503.69</v>
      </c>
      <c r="O470" s="38">
        <f t="shared" ca="1" si="241"/>
        <v>14.090113930974441</v>
      </c>
      <c r="P470" s="38">
        <f t="shared" si="242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0"/>
      <c r="C471" s="565"/>
      <c r="D471" s="566"/>
      <c r="E471" s="567" t="s">
        <v>184</v>
      </c>
      <c r="F471" s="565"/>
      <c r="G471" s="56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1"/>
        <v>0</v>
      </c>
      <c r="P471" s="45">
        <f t="shared" si="242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0"/>
      <c r="C472" s="565"/>
      <c r="D472" s="566"/>
      <c r="E472" s="567" t="s">
        <v>185</v>
      </c>
      <c r="F472" s="565"/>
      <c r="G472" s="568"/>
      <c r="H472" s="165" t="s">
        <v>12</v>
      </c>
      <c r="I472" s="44"/>
      <c r="J472" s="44"/>
      <c r="K472" s="45"/>
      <c r="L472" s="45">
        <f ca="1">IFERROR(__xludf.DUMMYFUNCTION("IMPORTRANGE(""https://docs.google.com/spreadsheets/d/1KxicF4apzSqm0-jIpmueT4kyZtE-Cwn5zskl7GD4loQ/edit?usp=share_link"",""กำแพงเพชร!l472"")+IMPORTRANGE(""https://docs.google.com/spreadsheets/d/1ZNYWeiFoFA1K1U4xKWqRX29MBvEyRHXORjo734Gnq_c/edit?usp=share_li"&amp;"nk"",""เชียงราย!l472"")
+IMPORTRANGE(""https://docs.google.com/spreadsheets/d/1Jgv0Y7YlHDtsiDawwp-uvifEJ8HVaSn0k2aGHG8-hwM/edit?usp=share_link"",""เชียงใหม่!l472"")+IMPORTRANGE(""https://docs.google.com/spreadsheets/d/1JWG2rZePOz9pe-f-ObA-yDr0VoOX2kSb0qIi"&amp;"x2mTUo8/edit?usp=share_link"",""ตาก!l472"")+IMPORTRANGE(""https://docs.google.com/spreadsheets/d/10nSRjK08hx8Y6HgSOQKNw81lyY46Zc7U_Cj72hBMp9U/edit?usp=share_link"",""นครสวรรค์!l472"")+IMPORTRANGE(""https://docs.google.com/spreadsheets/d/1gFVb7qd7amutrIxAA"&amp;"oM7lcy35hllxznovot8lyOfvDo/edit?usp=share_link"",""น่าน!l472"")+IMPORTRANGE(""https://docs.google.com/spreadsheets/d/1K0Aa9s-6EuHE5M0FG1F9aHLXRCOV917xvycTdLdct0w/edit?usp=share_link"",""พะเยา!l472"")+IMPORTRANGE(""https://docs.google.com/spreadsheets/d/1Y"&amp;"9LPKx95PyL5OKy09d-KbKJSuuEZCFdkhYjwC0XQjBA/edit?usp=share_link"",""พิจิตร!l472"")+IMPORTRANGE(""https://docs.google.com/spreadsheets/d/16OMuOwy2eVqZcYWOouQtTpa8X1L23h4660uVHc0C8os/edit?usp=share_link"",""พิษณุโลก!l472"")+IMPORTRANGE(""https://docs.google."&amp;"com/spreadsheets/d/1GfgTldLG6k77HXaMQzaafODklYuucJZQNs_GAPEfZyY/edit?usp=share_link"",""เพชรบูรณ์!l472"")+IMPORTRANGE(""https://docs.google.com/spreadsheets/d/1gvTMYAnm7v1yG1BKWFtr0DnaTsq59oW9dwWvFgq6hs0/edit?usp=share_link"",""แพร่!l472"")+IMPORTRANGE("""&amp;"https://docs.google.com/spreadsheets/d/1Wbcosgy-Xa1xXUArJSOenub6EfZHUSzc_bpJFWwQUf0/edit?usp=share_link"",""แม่ฮ่องสอน!l472"")+IMPORTRANGE(""https://docs.google.com/spreadsheets/d/1p7ERhsr0qZeSn-KSOdeHS9r0heI-lHtkcn2OH7hP0jQ/edit?usp=share_link"",""ลำปาง!"&amp;"l472"")+IMPORTRANGE(""https://docs.google.com/spreadsheets/d/1-uUXvimVhiU2U0bMN-xi2te0tS4X7DI2GLPnMjzl8cA/edit?usp=share_link"",""ลำพูน!l472"")+IMPORTRANGE(""https://docs.google.com/spreadsheets/d/17HrOaa5pBUI1onckFfumXB8xlg35qb2uBAFfF1D-Myo/edit?usp=shar"&amp;"e_link"",""สุโขทัย!l472"")+IMPORTRANGE(""https://docs.google.com/spreadsheets/d/1ubs5cl16eYL9gHbdHTJtmtYb9MGzHBs7CAphn8kNCgM/edit?usp=share_link"",""อุตรดิตถ์!l472"")+IMPORTRANGE(""https://docs.google.com/spreadsheets/d/1kII0BjS6CtVrBvI8IrytgPdxDrlyQDyigz"&amp;"MsohRtDMs/edit?usp=share_link"",""อุทัยธานี!l472"")
"),11550678)</f>
        <v>11550678</v>
      </c>
      <c r="M472" s="93">
        <v>0</v>
      </c>
      <c r="N472" s="45">
        <f ca="1">N473+N474+N475+N476</f>
        <v>1627503.69</v>
      </c>
      <c r="O472" s="45">
        <f t="shared" ca="1" si="241"/>
        <v>14.090113930974441</v>
      </c>
      <c r="P472" s="45">
        <f t="shared" si="242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540"/>
      <c r="D473" s="540"/>
      <c r="E473" s="540"/>
      <c r="F473" s="541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xicF4apzSqm0-jIpmueT4kyZtE-Cwn5zskl7GD4loQ/edit?usp=share_link"",""กำแพงเพชร!n473"")+IMPORTRANGE(""https://docs.google.com/spreadsheets/d/1ZNYWeiFoFA1K1U4xKWqRX29MBvEyRHXORjo734Gnq_c/edit?usp=share_li"&amp;"nk"",""เชียงราย!n473"")
+IMPORTRANGE(""https://docs.google.com/spreadsheets/d/1Jgv0Y7YlHDtsiDawwp-uvifEJ8HVaSn0k2aGHG8-hwM/edit?usp=share_link"",""เชียงใหม่!n473"")+IMPORTRANGE(""https://docs.google.com/spreadsheets/d/1JWG2rZePOz9pe-f-ObA-yDr0VoOX2kSb0qIi"&amp;"x2mTUo8/edit?usp=share_link"",""ตาก!n473"")+IMPORTRANGE(""https://docs.google.com/spreadsheets/d/10nSRjK08hx8Y6HgSOQKNw81lyY46Zc7U_Cj72hBMp9U/edit?usp=share_link"",""นครสวรรค์!n473"")+IMPORTRANGE(""https://docs.google.com/spreadsheets/d/1gFVb7qd7amutrIxAA"&amp;"oM7lcy35hllxznovot8lyOfvDo/edit?usp=share_link"",""น่าน!n473"")+IMPORTRANGE(""https://docs.google.com/spreadsheets/d/1K0Aa9s-6EuHE5M0FG1F9aHLXRCOV917xvycTdLdct0w/edit?usp=share_link"",""พะเยา!n473"")+IMPORTRANGE(""https://docs.google.com/spreadsheets/d/1Y"&amp;"9LPKx95PyL5OKy09d-KbKJSuuEZCFdkhYjwC0XQjBA/edit?usp=share_link"",""พิจิตร!n473"")+IMPORTRANGE(""https://docs.google.com/spreadsheets/d/16OMuOwy2eVqZcYWOouQtTpa8X1L23h4660uVHc0C8os/edit?usp=share_link"",""พิษณุโลก!n473"")+IMPORTRANGE(""https://docs.google."&amp;"com/spreadsheets/d/1GfgTldLG6k77HXaMQzaafODklYuucJZQNs_GAPEfZyY/edit?usp=share_link"",""เพชรบูรณ์!n473"")+IMPORTRANGE(""https://docs.google.com/spreadsheets/d/1gvTMYAnm7v1yG1BKWFtr0DnaTsq59oW9dwWvFgq6hs0/edit?usp=share_link"",""แพร่!n473"")+IMPORTRANGE("""&amp;"https://docs.google.com/spreadsheets/d/1Wbcosgy-Xa1xXUArJSOenub6EfZHUSzc_bpJFWwQUf0/edit?usp=share_link"",""แม่ฮ่องสอน!n473"")+IMPORTRANGE(""https://docs.google.com/spreadsheets/d/1p7ERhsr0qZeSn-KSOdeHS9r0heI-lHtkcn2OH7hP0jQ/edit?usp=share_link"",""ลำปาง!"&amp;"n473"")+IMPORTRANGE(""https://docs.google.com/spreadsheets/d/1-uUXvimVhiU2U0bMN-xi2te0tS4X7DI2GLPnMjzl8cA/edit?usp=share_link"",""ลำพูน!n473"")+IMPORTRANGE(""https://docs.google.com/spreadsheets/d/17HrOaa5pBUI1onckFfumXB8xlg35qb2uBAFfF1D-Myo/edit?usp=shar"&amp;"e_link"",""สุโขทัย!n473"")+IMPORTRANGE(""https://docs.google.com/spreadsheets/d/1ubs5cl16eYL9gHbdHTJtmtYb9MGzHBs7CAphn8kNCgM/edit?usp=share_link"",""อุตรดิตถ์!n473"")+IMPORTRANGE(""https://docs.google.com/spreadsheets/d/1kII0BjS6CtVrBvI8IrytgPdxDrlyQDyigz"&amp;"MsohRtDMs/edit?usp=share_link"",""อุทัยธานี!n473"")
"),1037704)</f>
        <v>1037704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540"/>
      <c r="D474" s="540"/>
      <c r="E474" s="540"/>
      <c r="F474" s="541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xicF4apzSqm0-jIpmueT4kyZtE-Cwn5zskl7GD4loQ/edit?usp=share_link"",""กำแพงเพชร!n474"")+IMPORTRANGE(""https://docs.google.com/spreadsheets/d/1ZNYWeiFoFA1K1U4xKWqRX29MBvEyRHXORjo734Gnq_c/edit?usp=share_li"&amp;"nk"",""เชียงราย!n474"")
+IMPORTRANGE(""https://docs.google.com/spreadsheets/d/1Jgv0Y7YlHDtsiDawwp-uvifEJ8HVaSn0k2aGHG8-hwM/edit?usp=share_link"",""เชียงใหม่!n474"")+IMPORTRANGE(""https://docs.google.com/spreadsheets/d/1JWG2rZePOz9pe-f-ObA-yDr0VoOX2kSb0qIi"&amp;"x2mTUo8/edit?usp=share_link"",""ตาก!n474"")+IMPORTRANGE(""https://docs.google.com/spreadsheets/d/10nSRjK08hx8Y6HgSOQKNw81lyY46Zc7U_Cj72hBMp9U/edit?usp=share_link"",""นครสวรรค์!n474"")+IMPORTRANGE(""https://docs.google.com/spreadsheets/d/1gFVb7qd7amutrIxAA"&amp;"oM7lcy35hllxznovot8lyOfvDo/edit?usp=share_link"",""น่าน!n474"")+IMPORTRANGE(""https://docs.google.com/spreadsheets/d/1K0Aa9s-6EuHE5M0FG1F9aHLXRCOV917xvycTdLdct0w/edit?usp=share_link"",""พะเยา!n474"")+IMPORTRANGE(""https://docs.google.com/spreadsheets/d/1Y"&amp;"9LPKx95PyL5OKy09d-KbKJSuuEZCFdkhYjwC0XQjBA/edit?usp=share_link"",""พิจิตร!n474"")+IMPORTRANGE(""https://docs.google.com/spreadsheets/d/16OMuOwy2eVqZcYWOouQtTpa8X1L23h4660uVHc0C8os/edit?usp=share_link"",""พิษณุโลก!n474"")+IMPORTRANGE(""https://docs.google."&amp;"com/spreadsheets/d/1GfgTldLG6k77HXaMQzaafODklYuucJZQNs_GAPEfZyY/edit?usp=share_link"",""เพชรบูรณ์!n474"")+IMPORTRANGE(""https://docs.google.com/spreadsheets/d/1gvTMYAnm7v1yG1BKWFtr0DnaTsq59oW9dwWvFgq6hs0/edit?usp=share_link"",""แพร่!n474"")+IMPORTRANGE("""&amp;"https://docs.google.com/spreadsheets/d/1Wbcosgy-Xa1xXUArJSOenub6EfZHUSzc_bpJFWwQUf0/edit?usp=share_link"",""แม่ฮ่องสอน!n474"")+IMPORTRANGE(""https://docs.google.com/spreadsheets/d/1p7ERhsr0qZeSn-KSOdeHS9r0heI-lHtkcn2OH7hP0jQ/edit?usp=share_link"",""ลำปาง!"&amp;"n474"")+IMPORTRANGE(""https://docs.google.com/spreadsheets/d/1-uUXvimVhiU2U0bMN-xi2te0tS4X7DI2GLPnMjzl8cA/edit?usp=share_link"",""ลำพูน!n474"")+IMPORTRANGE(""https://docs.google.com/spreadsheets/d/17HrOaa5pBUI1onckFfumXB8xlg35qb2uBAFfF1D-Myo/edit?usp=shar"&amp;"e_link"",""สุโขทัย!n474"")+IMPORTRANGE(""https://docs.google.com/spreadsheets/d/1ubs5cl16eYL9gHbdHTJtmtYb9MGzHBs7CAphn8kNCgM/edit?usp=share_link"",""อุตรดิตถ์!n474"")+IMPORTRANGE(""https://docs.google.com/spreadsheets/d/1kII0BjS6CtVrBvI8IrytgPdxDrlyQDyigz"&amp;"MsohRtDMs/edit?usp=share_link"",""อุทัยธานี!n474"")
"),43000)</f>
        <v>43000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541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xicF4apzSqm0-jIpmueT4kyZtE-Cwn5zskl7GD4loQ/edit?usp=share_link"",""กำแพงเพชร!n475"")+IMPORTRANGE(""https://docs.google.com/spreadsheets/d/1ZNYWeiFoFA1K1U4xKWqRX29MBvEyRHXORjo734Gnq_c/edit?usp=share_li"&amp;"nk"",""เชียงราย!n475"")
+IMPORTRANGE(""https://docs.google.com/spreadsheets/d/1Jgv0Y7YlHDtsiDawwp-uvifEJ8HVaSn0k2aGHG8-hwM/edit?usp=share_link"",""เชียงใหม่!n475"")+IMPORTRANGE(""https://docs.google.com/spreadsheets/d/1JWG2rZePOz9pe-f-ObA-yDr0VoOX2kSb0qIi"&amp;"x2mTUo8/edit?usp=share_link"",""ตาก!n475"")+IMPORTRANGE(""https://docs.google.com/spreadsheets/d/10nSRjK08hx8Y6HgSOQKNw81lyY46Zc7U_Cj72hBMp9U/edit?usp=share_link"",""นครสวรรค์!n475"")+IMPORTRANGE(""https://docs.google.com/spreadsheets/d/1gFVb7qd7amutrIxAA"&amp;"oM7lcy35hllxznovot8lyOfvDo/edit?usp=share_link"",""น่าน!n475"")+IMPORTRANGE(""https://docs.google.com/spreadsheets/d/1K0Aa9s-6EuHE5M0FG1F9aHLXRCOV917xvycTdLdct0w/edit?usp=share_link"",""พะเยา!n475"")+IMPORTRANGE(""https://docs.google.com/spreadsheets/d/1Y"&amp;"9LPKx95PyL5OKy09d-KbKJSuuEZCFdkhYjwC0XQjBA/edit?usp=share_link"",""พิจิตร!n475"")+IMPORTRANGE(""https://docs.google.com/spreadsheets/d/16OMuOwy2eVqZcYWOouQtTpa8X1L23h4660uVHc0C8os/edit?usp=share_link"",""พิษณุโลก!n475"")+IMPORTRANGE(""https://docs.google."&amp;"com/spreadsheets/d/1GfgTldLG6k77HXaMQzaafODklYuucJZQNs_GAPEfZyY/edit?usp=share_link"",""เพชรบูรณ์!n475"")+IMPORTRANGE(""https://docs.google.com/spreadsheets/d/1gvTMYAnm7v1yG1BKWFtr0DnaTsq59oW9dwWvFgq6hs0/edit?usp=share_link"",""แพร่!n475"")+IMPORTRANGE("""&amp;"https://docs.google.com/spreadsheets/d/1Wbcosgy-Xa1xXUArJSOenub6EfZHUSzc_bpJFWwQUf0/edit?usp=share_link"",""แม่ฮ่องสอน!n475"")+IMPORTRANGE(""https://docs.google.com/spreadsheets/d/1p7ERhsr0qZeSn-KSOdeHS9r0heI-lHtkcn2OH7hP0jQ/edit?usp=share_link"",""ลำปาง!"&amp;"n475"")+IMPORTRANGE(""https://docs.google.com/spreadsheets/d/1-uUXvimVhiU2U0bMN-xi2te0tS4X7DI2GLPnMjzl8cA/edit?usp=share_link"",""ลำพูน!n475"")+IMPORTRANGE(""https://docs.google.com/spreadsheets/d/17HrOaa5pBUI1onckFfumXB8xlg35qb2uBAFfF1D-Myo/edit?usp=shar"&amp;"e_link"",""สุโขทัย!n475"")+IMPORTRANGE(""https://docs.google.com/spreadsheets/d/1ubs5cl16eYL9gHbdHTJtmtYb9MGzHBs7CAphn8kNCgM/edit?usp=share_link"",""อุตรดิตถ์!n475"")+IMPORTRANGE(""https://docs.google.com/spreadsheets/d/1kII0BjS6CtVrBvI8IrytgPdxDrlyQDyigz"&amp;"MsohRtDMs/edit?usp=share_link"",""อุทัยธานี!n475"")
"),290786.69)</f>
        <v>290786.69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541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xicF4apzSqm0-jIpmueT4kyZtE-Cwn5zskl7GD4loQ/edit?usp=share_link"",""กำแพงเพชร!n476"")+IMPORTRANGE(""https://docs.google.com/spreadsheets/d/1ZNYWeiFoFA1K1U4xKWqRX29MBvEyRHXORjo734Gnq_c/edit?usp=share_li"&amp;"nk"",""เชียงราย!n476"")
+IMPORTRANGE(""https://docs.google.com/spreadsheets/d/1Jgv0Y7YlHDtsiDawwp-uvifEJ8HVaSn0k2aGHG8-hwM/edit?usp=share_link"",""เชียงใหม่!n476"")+IMPORTRANGE(""https://docs.google.com/spreadsheets/d/1JWG2rZePOz9pe-f-ObA-yDr0VoOX2kSb0qIi"&amp;"x2mTUo8/edit?usp=share_link"",""ตาก!n476"")+IMPORTRANGE(""https://docs.google.com/spreadsheets/d/10nSRjK08hx8Y6HgSOQKNw81lyY46Zc7U_Cj72hBMp9U/edit?usp=share_link"",""นครสวรรค์!n476"")+IMPORTRANGE(""https://docs.google.com/spreadsheets/d/1gFVb7qd7amutrIxAA"&amp;"oM7lcy35hllxznovot8lyOfvDo/edit?usp=share_link"",""น่าน!n476"")+IMPORTRANGE(""https://docs.google.com/spreadsheets/d/1K0Aa9s-6EuHE5M0FG1F9aHLXRCOV917xvycTdLdct0w/edit?usp=share_link"",""พะเยา!n476"")+IMPORTRANGE(""https://docs.google.com/spreadsheets/d/1Y"&amp;"9LPKx95PyL5OKy09d-KbKJSuuEZCFdkhYjwC0XQjBA/edit?usp=share_link"",""พิจิตร!n476"")+IMPORTRANGE(""https://docs.google.com/spreadsheets/d/16OMuOwy2eVqZcYWOouQtTpa8X1L23h4660uVHc0C8os/edit?usp=share_link"",""พิษณุโลก!n476"")+IMPORTRANGE(""https://docs.google."&amp;"com/spreadsheets/d/1GfgTldLG6k77HXaMQzaafODklYuucJZQNs_GAPEfZyY/edit?usp=share_link"",""เพชรบูรณ์!n476"")+IMPORTRANGE(""https://docs.google.com/spreadsheets/d/1gvTMYAnm7v1yG1BKWFtr0DnaTsq59oW9dwWvFgq6hs0/edit?usp=share_link"",""แพร่!n476"")+IMPORTRANGE("""&amp;"https://docs.google.com/spreadsheets/d/1Wbcosgy-Xa1xXUArJSOenub6EfZHUSzc_bpJFWwQUf0/edit?usp=share_link"",""แม่ฮ่องสอน!n476"")+IMPORTRANGE(""https://docs.google.com/spreadsheets/d/1p7ERhsr0qZeSn-KSOdeHS9r0heI-lHtkcn2OH7hP0jQ/edit?usp=share_link"",""ลำปาง!"&amp;"n476"")+IMPORTRANGE(""https://docs.google.com/spreadsheets/d/1-uUXvimVhiU2U0bMN-xi2te0tS4X7DI2GLPnMjzl8cA/edit?usp=share_link"",""ลำพูน!n476"")+IMPORTRANGE(""https://docs.google.com/spreadsheets/d/17HrOaa5pBUI1onckFfumXB8xlg35qb2uBAFfF1D-Myo/edit?usp=shar"&amp;"e_link"",""สุโขทัย!n476"")+IMPORTRANGE(""https://docs.google.com/spreadsheets/d/1ubs5cl16eYL9gHbdHTJtmtYb9MGzHBs7CAphn8kNCgM/edit?usp=share_link"",""อุตรดิตถ์!n476"")+IMPORTRANGE(""https://docs.google.com/spreadsheets/d/1kII0BjS6CtVrBvI8IrytgPdxDrlyQDyigz"&amp;"MsohRtDMs/edit?usp=share_link"",""อุทัยธานี!n476"")
"),256013)</f>
        <v>256013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62"/>
      <c r="J477" s="162"/>
      <c r="K477" s="163"/>
      <c r="L477" s="38">
        <f t="shared" ref="L477:N477" ca="1" si="246">L478+L479</f>
        <v>0</v>
      </c>
      <c r="M477" s="38">
        <f t="shared" si="246"/>
        <v>0</v>
      </c>
      <c r="N477" s="38">
        <f t="shared" si="246"/>
        <v>0</v>
      </c>
      <c r="O477" s="38">
        <f t="shared" ref="O477:O479" ca="1" si="247">IF(L477&gt;0,N477*100/L477,0)</f>
        <v>0</v>
      </c>
      <c r="P477" s="38">
        <f t="shared" ref="P477:P479" si="248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0"/>
      <c r="C478" s="570"/>
      <c r="D478" s="570"/>
      <c r="E478" s="572" t="s">
        <v>18</v>
      </c>
      <c r="F478" s="570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7"/>
        <v>0</v>
      </c>
      <c r="P478" s="45">
        <f t="shared" si="248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0"/>
      <c r="C479" s="570"/>
      <c r="D479" s="570"/>
      <c r="E479" s="572" t="s">
        <v>19</v>
      </c>
      <c r="F479" s="570"/>
      <c r="G479" s="56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xicF4apzSqm0-jIpmueT4kyZtE-Cwn5zskl7GD4loQ/edit?usp=share_link"",""กำแพงเพชร!l479"")+IMPORTRANGE(""https://docs.google.com/spreadsheets/d/1ZNYWeiFoFA1K1U4xKWqRX29MBvEyRHXORjo734Gnq_c/edit?usp=share_li"&amp;"nk"",""เชียงราย!l479"")
+IMPORTRANGE(""https://docs.google.com/spreadsheets/d/1Jgv0Y7YlHDtsiDawwp-uvifEJ8HVaSn0k2aGHG8-hwM/edit?usp=share_link"",""เชียงใหม่!l479"")+IMPORTRANGE(""https://docs.google.com/spreadsheets/d/1JWG2rZePOz9pe-f-ObA-yDr0VoOX2kSb0qIi"&amp;"x2mTUo8/edit?usp=share_link"",""ตาก!l479"")+IMPORTRANGE(""https://docs.google.com/spreadsheets/d/10nSRjK08hx8Y6HgSOQKNw81lyY46Zc7U_Cj72hBMp9U/edit?usp=share_link"",""นครสวรรค์!l479"")+IMPORTRANGE(""https://docs.google.com/spreadsheets/d/1gFVb7qd7amutrIxAA"&amp;"oM7lcy35hllxznovot8lyOfvDo/edit?usp=share_link"",""น่าน!l479"")+IMPORTRANGE(""https://docs.google.com/spreadsheets/d/1K0Aa9s-6EuHE5M0FG1F9aHLXRCOV917xvycTdLdct0w/edit?usp=share_link"",""พะเยา!l479"")+IMPORTRANGE(""https://docs.google.com/spreadsheets/d/1Y"&amp;"9LPKx95PyL5OKy09d-KbKJSuuEZCFdkhYjwC0XQjBA/edit?usp=share_link"",""พิจิตร!l479"")+IMPORTRANGE(""https://docs.google.com/spreadsheets/d/16OMuOwy2eVqZcYWOouQtTpa8X1L23h4660uVHc0C8os/edit?usp=share_link"",""พิษณุโลก!l479"")+IMPORTRANGE(""https://docs.google."&amp;"com/spreadsheets/d/1GfgTldLG6k77HXaMQzaafODklYuucJZQNs_GAPEfZyY/edit?usp=share_link"",""เพชรบูรณ์!l479"")+IMPORTRANGE(""https://docs.google.com/spreadsheets/d/1gvTMYAnm7v1yG1BKWFtr0DnaTsq59oW9dwWvFgq6hs0/edit?usp=share_link"",""แพร่!l479"")+IMPORTRANGE("""&amp;"https://docs.google.com/spreadsheets/d/1Wbcosgy-Xa1xXUArJSOenub6EfZHUSzc_bpJFWwQUf0/edit?usp=share_link"",""แม่ฮ่องสอน!l479"")+IMPORTRANGE(""https://docs.google.com/spreadsheets/d/1p7ERhsr0qZeSn-KSOdeHS9r0heI-lHtkcn2OH7hP0jQ/edit?usp=share_link"",""ลำปาง!"&amp;"l479"")+IMPORTRANGE(""https://docs.google.com/spreadsheets/d/1-uUXvimVhiU2U0bMN-xi2te0tS4X7DI2GLPnMjzl8cA/edit?usp=share_link"",""ลำพูน!l479"")+IMPORTRANGE(""https://docs.google.com/spreadsheets/d/17HrOaa5pBUI1onckFfumXB8xlg35qb2uBAFfF1D-Myo/edit?usp=shar"&amp;"e_link"",""สุโขทัย!l479"")+IMPORTRANGE(""https://docs.google.com/spreadsheets/d/1ubs5cl16eYL9gHbdHTJtmtYb9MGzHBs7CAphn8kNCgM/edit?usp=share_link"",""อุตรดิตถ์!l479"")+IMPORTRANGE(""https://docs.google.com/spreadsheets/d/1kII0BjS6CtVrBvI8IrytgPdxDrlyQDyigz"&amp;"MsohRtDMs/edit?usp=share_link"",""อุทัยธานี!l479"")
"),0)</f>
        <v>0</v>
      </c>
      <c r="M479" s="93">
        <v>0</v>
      </c>
      <c r="N479" s="93">
        <v>0</v>
      </c>
      <c r="O479" s="45">
        <f t="shared" ca="1" si="247"/>
        <v>0</v>
      </c>
      <c r="P479" s="45">
        <f t="shared" si="248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74"/>
      <c r="C480" s="539" t="s">
        <v>16</v>
      </c>
      <c r="D480" s="588" t="s">
        <v>38</v>
      </c>
      <c r="E480" s="576"/>
      <c r="F480" s="577"/>
      <c r="G480" s="578"/>
      <c r="H480" s="175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74"/>
      <c r="C481" s="574"/>
      <c r="D481" s="589" t="s">
        <v>206</v>
      </c>
      <c r="E481" s="574"/>
      <c r="F481" s="57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74"/>
      <c r="C482" s="574"/>
      <c r="D482" s="574"/>
      <c r="E482" s="585" t="s">
        <v>207</v>
      </c>
      <c r="F482" s="57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74"/>
      <c r="C483" s="574"/>
      <c r="D483" s="574"/>
      <c r="E483" s="574"/>
      <c r="F483" s="585" t="s">
        <v>208</v>
      </c>
      <c r="G483" s="175"/>
      <c r="H483" s="36" t="s">
        <v>46</v>
      </c>
      <c r="I483" s="37">
        <f ca="1">IFERROR(__xludf.DUMMYFUNCTION("IMPORTRANGE(""https://docs.google.com/spreadsheets/d/1KxicF4apzSqm0-jIpmueT4kyZtE-Cwn5zskl7GD4loQ/edit?usp=share_link"",""กำแพงเพชร!I483"")+IMPORTRANGE(""https://docs.google.com/spreadsheets/d/1ZNYWeiFoFA1K1U4xKWqRX29MBvEyRHXORjo734Gnq_c/edit?usp=share_li"&amp;"nk"",""เชียงราย!I483"")
+IMPORTRANGE(""https://docs.google.com/spreadsheets/d/1Jgv0Y7YlHDtsiDawwp-uvifEJ8HVaSn0k2aGHG8-hwM/edit?usp=share_link"",""เชียงใหม่!I483"")+IMPORTRANGE(""https://docs.google.com/spreadsheets/d/1JWG2rZePOz9pe-f-ObA-yDr0VoOX2kSb0qIi"&amp;"x2mTUo8/edit?usp=share_link"",""ตาก!I483"")+IMPORTRANGE(""https://docs.google.com/spreadsheets/d/10nSRjK08hx8Y6HgSOQKNw81lyY46Zc7U_Cj72hBMp9U/edit?usp=share_link"",""นครสวรรค์!I483"")+IMPORTRANGE(""https://docs.google.com/spreadsheets/d/1gFVb7qd7amutrIxAA"&amp;"oM7lcy35hllxznovot8lyOfvDo/edit?usp=share_link"",""น่าน!I483"")+IMPORTRANGE(""https://docs.google.com/spreadsheets/d/1K0Aa9s-6EuHE5M0FG1F9aHLXRCOV917xvycTdLdct0w/edit?usp=share_link"",""พะเยา!I483"")+IMPORTRANGE(""https://docs.google.com/spreadsheets/d/1Y"&amp;"9LPKx95PyL5OKy09d-KbKJSuuEZCFdkhYjwC0XQjBA/edit?usp=share_link"",""พิจิตร!I483"")+IMPORTRANGE(""https://docs.google.com/spreadsheets/d/16OMuOwy2eVqZcYWOouQtTpa8X1L23h4660uVHc0C8os/edit?usp=share_link"",""พิษณุโลก!I483"")+IMPORTRANGE(""https://docs.google."&amp;"com/spreadsheets/d/1GfgTldLG6k77HXaMQzaafODklYuucJZQNs_GAPEfZyY/edit?usp=share_link"",""เพชรบูรณ์!I483"")+IMPORTRANGE(""https://docs.google.com/spreadsheets/d/1gvTMYAnm7v1yG1BKWFtr0DnaTsq59oW9dwWvFgq6hs0/edit?usp=share_link"",""แพร่!I483"")+IMPORTRANGE("""&amp;"https://docs.google.com/spreadsheets/d/1Wbcosgy-Xa1xXUArJSOenub6EfZHUSzc_bpJFWwQUf0/edit?usp=share_link"",""แม่ฮ่องสอน!I483"")+IMPORTRANGE(""https://docs.google.com/spreadsheets/d/1p7ERhsr0qZeSn-KSOdeHS9r0heI-lHtkcn2OH7hP0jQ/edit?usp=share_link"",""ลำปาง!"&amp;"I483"")+IMPORTRANGE(""https://docs.google.com/spreadsheets/d/1-uUXvimVhiU2U0bMN-xi2te0tS4X7DI2GLPnMjzl8cA/edit?usp=share_link"",""ลำพูน!I483"")+IMPORTRANGE(""https://docs.google.com/spreadsheets/d/17HrOaa5pBUI1onckFfumXB8xlg35qb2uBAFfF1D-Myo/edit?usp=shar"&amp;"e_link"",""สุโขทัย!I483"")+IMPORTRANGE(""https://docs.google.com/spreadsheets/d/1ubs5cl16eYL9gHbdHTJtmtYb9MGzHBs7CAphn8kNCgM/edit?usp=share_link"",""อุตรดิตถ์!I483"")+IMPORTRANGE(""https://docs.google.com/spreadsheets/d/1kII0BjS6CtVrBvI8IrytgPdxDrlyQDyigz"&amp;"MsohRtDMs/edit?usp=share_link"",""อุทัยธานี!I483"")
"),11790)</f>
        <v>11790</v>
      </c>
      <c r="J483" s="183">
        <f ca="1">IFERROR(__xludf.DUMMYFUNCTION("IMPORTRANGE(""https://docs.google.com/spreadsheets/d/1KxicF4apzSqm0-jIpmueT4kyZtE-Cwn5zskl7GD4loQ/edit?usp=share_link"",""กำแพงเพชร!J483"")+IMPORTRANGE(""https://docs.google.com/spreadsheets/d/1ZNYWeiFoFA1K1U4xKWqRX29MBvEyRHXORjo734Gnq_c/edit?usp=share_li"&amp;"nk"",""เชียงราย!J483"")
+IMPORTRANGE(""https://docs.google.com/spreadsheets/d/1Jgv0Y7YlHDtsiDawwp-uvifEJ8HVaSn0k2aGHG8-hwM/edit?usp=share_link"",""เชียงใหม่!J483"")+IMPORTRANGE(""https://docs.google.com/spreadsheets/d/1JWG2rZePOz9pe-f-ObA-yDr0VoOX2kSb0qIi"&amp;"x2mTUo8/edit?usp=share_link"",""ตาก!J483"")+IMPORTRANGE(""https://docs.google.com/spreadsheets/d/10nSRjK08hx8Y6HgSOQKNw81lyY46Zc7U_Cj72hBMp9U/edit?usp=share_link"",""นครสวรรค์!J483"")+IMPORTRANGE(""https://docs.google.com/spreadsheets/d/1gFVb7qd7amutrIxAA"&amp;"oM7lcy35hllxznovot8lyOfvDo/edit?usp=share_link"",""น่าน!J483"")+IMPORTRANGE(""https://docs.google.com/spreadsheets/d/1K0Aa9s-6EuHE5M0FG1F9aHLXRCOV917xvycTdLdct0w/edit?usp=share_link"",""พะเยา!J483"")+IMPORTRANGE(""https://docs.google.com/spreadsheets/d/1Y"&amp;"9LPKx95PyL5OKy09d-KbKJSuuEZCFdkhYjwC0XQjBA/edit?usp=share_link"",""พิจิตร!J483"")+IMPORTRANGE(""https://docs.google.com/spreadsheets/d/16OMuOwy2eVqZcYWOouQtTpa8X1L23h4660uVHc0C8os/edit?usp=share_link"",""พิษณุโลก!J483"")+IMPORTRANGE(""https://docs.google."&amp;"com/spreadsheets/d/1GfgTldLG6k77HXaMQzaafODklYuucJZQNs_GAPEfZyY/edit?usp=share_link"",""เพชรบูรณ์!J483"")+IMPORTRANGE(""https://docs.google.com/spreadsheets/d/1gvTMYAnm7v1yG1BKWFtr0DnaTsq59oW9dwWvFgq6hs0/edit?usp=share_link"",""แพร่!J483"")+IMPORTRANGE("""&amp;"https://docs.google.com/spreadsheets/d/1Wbcosgy-Xa1xXUArJSOenub6EfZHUSzc_bpJFWwQUf0/edit?usp=share_link"",""แม่ฮ่องสอน!J483"")+IMPORTRANGE(""https://docs.google.com/spreadsheets/d/1p7ERhsr0qZeSn-KSOdeHS9r0heI-lHtkcn2OH7hP0jQ/edit?usp=share_link"",""ลำปาง!"&amp;"J483"")+IMPORTRANGE(""https://docs.google.com/spreadsheets/d/1-uUXvimVhiU2U0bMN-xi2te0tS4X7DI2GLPnMjzl8cA/edit?usp=share_link"",""ลำพูน!J483"")+IMPORTRANGE(""https://docs.google.com/spreadsheets/d/17HrOaa5pBUI1onckFfumXB8xlg35qb2uBAFfF1D-Myo/edit?usp=shar"&amp;"e_link"",""สุโขทัย!J483"")+IMPORTRANGE(""https://docs.google.com/spreadsheets/d/1ubs5cl16eYL9gHbdHTJtmtYb9MGzHBs7CAphn8kNCgM/edit?usp=share_link"",""อุตรดิตถ์!J483"")+IMPORTRANGE(""https://docs.google.com/spreadsheets/d/1kII0BjS6CtVrBvI8IrytgPdxDrlyQDyigz"&amp;"MsohRtDMs/edit?usp=share_link"",""อุทัยธานี!J483"")
"),8480)</f>
        <v>8480</v>
      </c>
      <c r="K483" s="38">
        <f ca="1">IF(I483&gt;0,J483*100/I483,0)</f>
        <v>71.925360474978802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74"/>
      <c r="C484" s="574"/>
      <c r="D484" s="574"/>
      <c r="E484" s="574"/>
      <c r="F484" s="585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KxicF4apzSqm0-jIpmueT4kyZtE-Cwn5zskl7GD4loQ/edit?usp=share_link"",""กำแพงเพชร!J484"")+IMPORTRANGE(""https://docs.google.com/spreadsheets/d/1ZNYWeiFoFA1K1U4xKWqRX29MBvEyRHXORjo734Gnq_c/edit?usp=share_li"&amp;"nk"",""เชียงราย!J484"")
+IMPORTRANGE(""https://docs.google.com/spreadsheets/d/1Jgv0Y7YlHDtsiDawwp-uvifEJ8HVaSn0k2aGHG8-hwM/edit?usp=share_link"",""เชียงใหม่!J484"")+IMPORTRANGE(""https://docs.google.com/spreadsheets/d/1JWG2rZePOz9pe-f-ObA-yDr0VoOX2kSb0qIi"&amp;"x2mTUo8/edit?usp=share_link"",""ตาก!J484"")+IMPORTRANGE(""https://docs.google.com/spreadsheets/d/10nSRjK08hx8Y6HgSOQKNw81lyY46Zc7U_Cj72hBMp9U/edit?usp=share_link"",""นครสวรรค์!J484"")+IMPORTRANGE(""https://docs.google.com/spreadsheets/d/1gFVb7qd7amutrIxAA"&amp;"oM7lcy35hllxznovot8lyOfvDo/edit?usp=share_link"",""น่าน!J484"")+IMPORTRANGE(""https://docs.google.com/spreadsheets/d/1K0Aa9s-6EuHE5M0FG1F9aHLXRCOV917xvycTdLdct0w/edit?usp=share_link"",""พะเยา!J484"")+IMPORTRANGE(""https://docs.google.com/spreadsheets/d/1Y"&amp;"9LPKx95PyL5OKy09d-KbKJSuuEZCFdkhYjwC0XQjBA/edit?usp=share_link"",""พิจิตร!J484"")+IMPORTRANGE(""https://docs.google.com/spreadsheets/d/16OMuOwy2eVqZcYWOouQtTpa8X1L23h4660uVHc0C8os/edit?usp=share_link"",""พิษณุโลก!J484"")+IMPORTRANGE(""https://docs.google."&amp;"com/spreadsheets/d/1GfgTldLG6k77HXaMQzaafODklYuucJZQNs_GAPEfZyY/edit?usp=share_link"",""เพชรบูรณ์!J484"")+IMPORTRANGE(""https://docs.google.com/spreadsheets/d/1gvTMYAnm7v1yG1BKWFtr0DnaTsq59oW9dwWvFgq6hs0/edit?usp=share_link"",""แพร่!J484"")+IMPORTRANGE("""&amp;"https://docs.google.com/spreadsheets/d/1Wbcosgy-Xa1xXUArJSOenub6EfZHUSzc_bpJFWwQUf0/edit?usp=share_link"",""แม่ฮ่องสอน!J484"")+IMPORTRANGE(""https://docs.google.com/spreadsheets/d/1p7ERhsr0qZeSn-KSOdeHS9r0heI-lHtkcn2OH7hP0jQ/edit?usp=share_link"",""ลำปาง!"&amp;"J484"")+IMPORTRANGE(""https://docs.google.com/spreadsheets/d/1-uUXvimVhiU2U0bMN-xi2te0tS4X7DI2GLPnMjzl8cA/edit?usp=share_link"",""ลำพูน!J484"")+IMPORTRANGE(""https://docs.google.com/spreadsheets/d/17HrOaa5pBUI1onckFfumXB8xlg35qb2uBAFfF1D-Myo/edit?usp=shar"&amp;"e_link"",""สุโขทัย!J484"")+IMPORTRANGE(""https://docs.google.com/spreadsheets/d/1ubs5cl16eYL9gHbdHTJtmtYb9MGzHBs7CAphn8kNCgM/edit?usp=share_link"",""อุตรดิตถ์!J484"")+IMPORTRANGE(""https://docs.google.com/spreadsheets/d/1kII0BjS6CtVrBvI8IrytgPdxDrlyQDyigz"&amp;"MsohRtDMs/edit?usp=share_link"",""อุทัยธานี!J484"")
"),602)</f>
        <v>602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74"/>
      <c r="C485" s="574"/>
      <c r="D485" s="574"/>
      <c r="E485" s="574"/>
      <c r="F485" s="585" t="s">
        <v>210</v>
      </c>
      <c r="G485" s="175"/>
      <c r="H485" s="36" t="s">
        <v>35</v>
      </c>
      <c r="I485" s="37">
        <f ca="1">IFERROR(__xludf.DUMMYFUNCTION("IMPORTRANGE(""https://docs.google.com/spreadsheets/d/1KxicF4apzSqm0-jIpmueT4kyZtE-Cwn5zskl7GD4loQ/edit?usp=share_link"",""กำแพงเพชร!I485"")+IMPORTRANGE(""https://docs.google.com/spreadsheets/d/1ZNYWeiFoFA1K1U4xKWqRX29MBvEyRHXORjo734Gnq_c/edit?usp=share_li"&amp;"nk"",""เชียงราย!I485"")
+IMPORTRANGE(""https://docs.google.com/spreadsheets/d/1Jgv0Y7YlHDtsiDawwp-uvifEJ8HVaSn0k2aGHG8-hwM/edit?usp=share_link"",""เชียงใหม่!I485"")+IMPORTRANGE(""https://docs.google.com/spreadsheets/d/1JWG2rZePOz9pe-f-ObA-yDr0VoOX2kSb0qIi"&amp;"x2mTUo8/edit?usp=share_link"",""ตาก!I485"")+IMPORTRANGE(""https://docs.google.com/spreadsheets/d/10nSRjK08hx8Y6HgSOQKNw81lyY46Zc7U_Cj72hBMp9U/edit?usp=share_link"",""นครสวรรค์!I485"")+IMPORTRANGE(""https://docs.google.com/spreadsheets/d/1gFVb7qd7amutrIxAA"&amp;"oM7lcy35hllxznovot8lyOfvDo/edit?usp=share_link"",""น่าน!I485"")+IMPORTRANGE(""https://docs.google.com/spreadsheets/d/1K0Aa9s-6EuHE5M0FG1F9aHLXRCOV917xvycTdLdct0w/edit?usp=share_link"",""พะเยา!I485"")+IMPORTRANGE(""https://docs.google.com/spreadsheets/d/1Y"&amp;"9LPKx95PyL5OKy09d-KbKJSuuEZCFdkhYjwC0XQjBA/edit?usp=share_link"",""พิจิตร!I485"")+IMPORTRANGE(""https://docs.google.com/spreadsheets/d/16OMuOwy2eVqZcYWOouQtTpa8X1L23h4660uVHc0C8os/edit?usp=share_link"",""พิษณุโลก!I485"")+IMPORTRANGE(""https://docs.google."&amp;"com/spreadsheets/d/1GfgTldLG6k77HXaMQzaafODklYuucJZQNs_GAPEfZyY/edit?usp=share_link"",""เพชรบูรณ์!I485"")+IMPORTRANGE(""https://docs.google.com/spreadsheets/d/1gvTMYAnm7v1yG1BKWFtr0DnaTsq59oW9dwWvFgq6hs0/edit?usp=share_link"",""แพร่!I485"")+IMPORTRANGE("""&amp;"https://docs.google.com/spreadsheets/d/1Wbcosgy-Xa1xXUArJSOenub6EfZHUSzc_bpJFWwQUf0/edit?usp=share_link"",""แม่ฮ่องสอน!I485"")+IMPORTRANGE(""https://docs.google.com/spreadsheets/d/1p7ERhsr0qZeSn-KSOdeHS9r0heI-lHtkcn2OH7hP0jQ/edit?usp=share_link"",""ลำปาง!"&amp;"I485"")+IMPORTRANGE(""https://docs.google.com/spreadsheets/d/1-uUXvimVhiU2U0bMN-xi2te0tS4X7DI2GLPnMjzl8cA/edit?usp=share_link"",""ลำพูน!I485"")+IMPORTRANGE(""https://docs.google.com/spreadsheets/d/17HrOaa5pBUI1onckFfumXB8xlg35qb2uBAFfF1D-Myo/edit?usp=shar"&amp;"e_link"",""สุโขทัย!I485"")+IMPORTRANGE(""https://docs.google.com/spreadsheets/d/1ubs5cl16eYL9gHbdHTJtmtYb9MGzHBs7CAphn8kNCgM/edit?usp=share_link"",""อุตรดิตถ์!I485"")+IMPORTRANGE(""https://docs.google.com/spreadsheets/d/1kII0BjS6CtVrBvI8IrytgPdxDrlyQDyigz"&amp;"MsohRtDMs/edit?usp=share_link"",""อุทัยธานี!I485"")
"),1179)</f>
        <v>1179</v>
      </c>
      <c r="J485" s="183">
        <f ca="1">IFERROR(__xludf.DUMMYFUNCTION("IMPORTRANGE(""https://docs.google.com/spreadsheets/d/1KxicF4apzSqm0-jIpmueT4kyZtE-Cwn5zskl7GD4loQ/edit?usp=share_link"",""กำแพงเพชร!J485"")+IMPORTRANGE(""https://docs.google.com/spreadsheets/d/1ZNYWeiFoFA1K1U4xKWqRX29MBvEyRHXORjo734Gnq_c/edit?usp=share_li"&amp;"nk"",""เชียงราย!J485"")
+IMPORTRANGE(""https://docs.google.com/spreadsheets/d/1Jgv0Y7YlHDtsiDawwp-uvifEJ8HVaSn0k2aGHG8-hwM/edit?usp=share_link"",""เชียงใหม่!J485"")+IMPORTRANGE(""https://docs.google.com/spreadsheets/d/1JWG2rZePOz9pe-f-ObA-yDr0VoOX2kSb0qIi"&amp;"x2mTUo8/edit?usp=share_link"",""ตาก!J485"")+IMPORTRANGE(""https://docs.google.com/spreadsheets/d/10nSRjK08hx8Y6HgSOQKNw81lyY46Zc7U_Cj72hBMp9U/edit?usp=share_link"",""นครสวรรค์!J485"")+IMPORTRANGE(""https://docs.google.com/spreadsheets/d/1gFVb7qd7amutrIxAA"&amp;"oM7lcy35hllxznovot8lyOfvDo/edit?usp=share_link"",""น่าน!J485"")+IMPORTRANGE(""https://docs.google.com/spreadsheets/d/1K0Aa9s-6EuHE5M0FG1F9aHLXRCOV917xvycTdLdct0w/edit?usp=share_link"",""พะเยา!J485"")+IMPORTRANGE(""https://docs.google.com/spreadsheets/d/1Y"&amp;"9LPKx95PyL5OKy09d-KbKJSuuEZCFdkhYjwC0XQjBA/edit?usp=share_link"",""พิจิตร!J485"")+IMPORTRANGE(""https://docs.google.com/spreadsheets/d/16OMuOwy2eVqZcYWOouQtTpa8X1L23h4660uVHc0C8os/edit?usp=share_link"",""พิษณุโลก!J485"")+IMPORTRANGE(""https://docs.google."&amp;"com/spreadsheets/d/1GfgTldLG6k77HXaMQzaafODklYuucJZQNs_GAPEfZyY/edit?usp=share_link"",""เพชรบูรณ์!J485"")+IMPORTRANGE(""https://docs.google.com/spreadsheets/d/1gvTMYAnm7v1yG1BKWFtr0DnaTsq59oW9dwWvFgq6hs0/edit?usp=share_link"",""แพร่!J485"")+IMPORTRANGE("""&amp;"https://docs.google.com/spreadsheets/d/1Wbcosgy-Xa1xXUArJSOenub6EfZHUSzc_bpJFWwQUf0/edit?usp=share_link"",""แม่ฮ่องสอน!J485"")+IMPORTRANGE(""https://docs.google.com/spreadsheets/d/1p7ERhsr0qZeSn-KSOdeHS9r0heI-lHtkcn2OH7hP0jQ/edit?usp=share_link"",""ลำปาง!"&amp;"J485"")+IMPORTRANGE(""https://docs.google.com/spreadsheets/d/1-uUXvimVhiU2U0bMN-xi2te0tS4X7DI2GLPnMjzl8cA/edit?usp=share_link"",""ลำพูน!J485"")+IMPORTRANGE(""https://docs.google.com/spreadsheets/d/17HrOaa5pBUI1onckFfumXB8xlg35qb2uBAFfF1D-Myo/edit?usp=shar"&amp;"e_link"",""สุโขทัย!J485"")+IMPORTRANGE(""https://docs.google.com/spreadsheets/d/1ubs5cl16eYL9gHbdHTJtmtYb9MGzHBs7CAphn8kNCgM/edit?usp=share_link"",""อุตรดิตถ์!J485"")+IMPORTRANGE(""https://docs.google.com/spreadsheets/d/1kII0BjS6CtVrBvI8IrytgPdxDrlyQDyigz"&amp;"MsohRtDMs/edit?usp=share_link"",""อุทัยธานี!J485"")
"),1002)</f>
        <v>1002</v>
      </c>
      <c r="K485" s="38">
        <f ca="1">IF(I485&gt;0,J485*100/I485,0)</f>
        <v>84.987277353689564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74"/>
      <c r="C486" s="574"/>
      <c r="D486" s="574"/>
      <c r="E486" s="585" t="s">
        <v>62</v>
      </c>
      <c r="F486" s="57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74"/>
      <c r="C487" s="574"/>
      <c r="D487" s="574"/>
      <c r="E487" s="574"/>
      <c r="F487" s="585" t="s">
        <v>208</v>
      </c>
      <c r="G487" s="175"/>
      <c r="H487" s="36" t="s">
        <v>46</v>
      </c>
      <c r="I487" s="37">
        <f ca="1">IFERROR(__xludf.DUMMYFUNCTION("IMPORTRANGE(""https://docs.google.com/spreadsheets/d/1KxicF4apzSqm0-jIpmueT4kyZtE-Cwn5zskl7GD4loQ/edit?usp=share_link"",""กำแพงเพชร!I487"")+IMPORTRANGE(""https://docs.google.com/spreadsheets/d/1ZNYWeiFoFA1K1U4xKWqRX29MBvEyRHXORjo734Gnq_c/edit?usp=share_li"&amp;"nk"",""เชียงราย!I487"")
+IMPORTRANGE(""https://docs.google.com/spreadsheets/d/1Jgv0Y7YlHDtsiDawwp-uvifEJ8HVaSn0k2aGHG8-hwM/edit?usp=share_link"",""เชียงใหม่!I487"")+IMPORTRANGE(""https://docs.google.com/spreadsheets/d/1JWG2rZePOz9pe-f-ObA-yDr0VoOX2kSb0qIi"&amp;"x2mTUo8/edit?usp=share_link"",""ตาก!I487"")+IMPORTRANGE(""https://docs.google.com/spreadsheets/d/10nSRjK08hx8Y6HgSOQKNw81lyY46Zc7U_Cj72hBMp9U/edit?usp=share_link"",""นครสวรรค์!I487"")+IMPORTRANGE(""https://docs.google.com/spreadsheets/d/1gFVb7qd7amutrIxAA"&amp;"oM7lcy35hllxznovot8lyOfvDo/edit?usp=share_link"",""น่าน!I487"")+IMPORTRANGE(""https://docs.google.com/spreadsheets/d/1K0Aa9s-6EuHE5M0FG1F9aHLXRCOV917xvycTdLdct0w/edit?usp=share_link"",""พะเยา!I487"")+IMPORTRANGE(""https://docs.google.com/spreadsheets/d/1Y"&amp;"9LPKx95PyL5OKy09d-KbKJSuuEZCFdkhYjwC0XQjBA/edit?usp=share_link"",""พิจิตร!I487"")+IMPORTRANGE(""https://docs.google.com/spreadsheets/d/16OMuOwy2eVqZcYWOouQtTpa8X1L23h4660uVHc0C8os/edit?usp=share_link"",""พิษณุโลก!I487"")+IMPORTRANGE(""https://docs.google."&amp;"com/spreadsheets/d/1GfgTldLG6k77HXaMQzaafODklYuucJZQNs_GAPEfZyY/edit?usp=share_link"",""เพชรบูรณ์!I487"")+IMPORTRANGE(""https://docs.google.com/spreadsheets/d/1gvTMYAnm7v1yG1BKWFtr0DnaTsq59oW9dwWvFgq6hs0/edit?usp=share_link"",""แพร่!I487"")+IMPORTRANGE("""&amp;"https://docs.google.com/spreadsheets/d/1Wbcosgy-Xa1xXUArJSOenub6EfZHUSzc_bpJFWwQUf0/edit?usp=share_link"",""แม่ฮ่องสอน!I487"")+IMPORTRANGE(""https://docs.google.com/spreadsheets/d/1p7ERhsr0qZeSn-KSOdeHS9r0heI-lHtkcn2OH7hP0jQ/edit?usp=share_link"",""ลำปาง!"&amp;"I487"")+IMPORTRANGE(""https://docs.google.com/spreadsheets/d/1-uUXvimVhiU2U0bMN-xi2te0tS4X7DI2GLPnMjzl8cA/edit?usp=share_link"",""ลำพูน!I487"")+IMPORTRANGE(""https://docs.google.com/spreadsheets/d/17HrOaa5pBUI1onckFfumXB8xlg35qb2uBAFfF1D-Myo/edit?usp=shar"&amp;"e_link"",""สุโขทัย!I487"")+IMPORTRANGE(""https://docs.google.com/spreadsheets/d/1ubs5cl16eYL9gHbdHTJtmtYb9MGzHBs7CAphn8kNCgM/edit?usp=share_link"",""อุตรดิตถ์!I487"")+IMPORTRANGE(""https://docs.google.com/spreadsheets/d/1kII0BjS6CtVrBvI8IrytgPdxDrlyQDyigz"&amp;"MsohRtDMs/edit?usp=share_link"",""อุทัยธานี!I487"")
"),1310)</f>
        <v>1310</v>
      </c>
      <c r="J487" s="183">
        <f ca="1">IFERROR(__xludf.DUMMYFUNCTION("IMPORTRANGE(""https://docs.google.com/spreadsheets/d/1KxicF4apzSqm0-jIpmueT4kyZtE-Cwn5zskl7GD4loQ/edit?usp=share_link"",""กำแพงเพชร!J487"")+IMPORTRANGE(""https://docs.google.com/spreadsheets/d/1ZNYWeiFoFA1K1U4xKWqRX29MBvEyRHXORjo734Gnq_c/edit?usp=share_li"&amp;"nk"",""เชียงราย!J487"")
+IMPORTRANGE(""https://docs.google.com/spreadsheets/d/1Jgv0Y7YlHDtsiDawwp-uvifEJ8HVaSn0k2aGHG8-hwM/edit?usp=share_link"",""เชียงใหม่!J487"")+IMPORTRANGE(""https://docs.google.com/spreadsheets/d/1JWG2rZePOz9pe-f-ObA-yDr0VoOX2kSb0qIi"&amp;"x2mTUo8/edit?usp=share_link"",""ตาก!J487"")+IMPORTRANGE(""https://docs.google.com/spreadsheets/d/10nSRjK08hx8Y6HgSOQKNw81lyY46Zc7U_Cj72hBMp9U/edit?usp=share_link"",""นครสวรรค์!J487"")+IMPORTRANGE(""https://docs.google.com/spreadsheets/d/1gFVb7qd7amutrIxAA"&amp;"oM7lcy35hllxznovot8lyOfvDo/edit?usp=share_link"",""น่าน!J487"")+IMPORTRANGE(""https://docs.google.com/spreadsheets/d/1K0Aa9s-6EuHE5M0FG1F9aHLXRCOV917xvycTdLdct0w/edit?usp=share_link"",""พะเยา!J487"")+IMPORTRANGE(""https://docs.google.com/spreadsheets/d/1Y"&amp;"9LPKx95PyL5OKy09d-KbKJSuuEZCFdkhYjwC0XQjBA/edit?usp=share_link"",""พิจิตร!J487"")+IMPORTRANGE(""https://docs.google.com/spreadsheets/d/16OMuOwy2eVqZcYWOouQtTpa8X1L23h4660uVHc0C8os/edit?usp=share_link"",""พิษณุโลก!J487"")+IMPORTRANGE(""https://docs.google."&amp;"com/spreadsheets/d/1GfgTldLG6k77HXaMQzaafODklYuucJZQNs_GAPEfZyY/edit?usp=share_link"",""เพชรบูรณ์!J487"")+IMPORTRANGE(""https://docs.google.com/spreadsheets/d/1gvTMYAnm7v1yG1BKWFtr0DnaTsq59oW9dwWvFgq6hs0/edit?usp=share_link"",""แพร่!J487"")+IMPORTRANGE("""&amp;"https://docs.google.com/spreadsheets/d/1Wbcosgy-Xa1xXUArJSOenub6EfZHUSzc_bpJFWwQUf0/edit?usp=share_link"",""แม่ฮ่องสอน!J487"")+IMPORTRANGE(""https://docs.google.com/spreadsheets/d/1p7ERhsr0qZeSn-KSOdeHS9r0heI-lHtkcn2OH7hP0jQ/edit?usp=share_link"",""ลำปาง!"&amp;"J487"")+IMPORTRANGE(""https://docs.google.com/spreadsheets/d/1-uUXvimVhiU2U0bMN-xi2te0tS4X7DI2GLPnMjzl8cA/edit?usp=share_link"",""ลำพูน!J487"")+IMPORTRANGE(""https://docs.google.com/spreadsheets/d/17HrOaa5pBUI1onckFfumXB8xlg35qb2uBAFfF1D-Myo/edit?usp=shar"&amp;"e_link"",""สุโขทัย!J487"")+IMPORTRANGE(""https://docs.google.com/spreadsheets/d/1ubs5cl16eYL9gHbdHTJtmtYb9MGzHBs7CAphn8kNCgM/edit?usp=share_link"",""อุตรดิตถ์!J487"")+IMPORTRANGE(""https://docs.google.com/spreadsheets/d/1kII0BjS6CtVrBvI8IrytgPdxDrlyQDyigz"&amp;"MsohRtDMs/edit?usp=share_link"",""อุทัยธานี!J487"")
"),660)</f>
        <v>660</v>
      </c>
      <c r="K487" s="38">
        <f ca="1">IF(I487&gt;0,J487*100/I487,0)</f>
        <v>50.381679389312978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74"/>
      <c r="C488" s="574"/>
      <c r="D488" s="574"/>
      <c r="E488" s="574"/>
      <c r="F488" s="585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KxicF4apzSqm0-jIpmueT4kyZtE-Cwn5zskl7GD4loQ/edit?usp=share_link"",""กำแพงเพชร!J488"")+IMPORTRANGE(""https://docs.google.com/spreadsheets/d/1ZNYWeiFoFA1K1U4xKWqRX29MBvEyRHXORjo734Gnq_c/edit?usp=share_li"&amp;"nk"",""เชียงราย!J488"")
+IMPORTRANGE(""https://docs.google.com/spreadsheets/d/1Jgv0Y7YlHDtsiDawwp-uvifEJ8HVaSn0k2aGHG8-hwM/edit?usp=share_link"",""เชียงใหม่!J488"")+IMPORTRANGE(""https://docs.google.com/spreadsheets/d/1JWG2rZePOz9pe-f-ObA-yDr0VoOX2kSb0qIi"&amp;"x2mTUo8/edit?usp=share_link"",""ตาก!J488"")+IMPORTRANGE(""https://docs.google.com/spreadsheets/d/10nSRjK08hx8Y6HgSOQKNw81lyY46Zc7U_Cj72hBMp9U/edit?usp=share_link"",""นครสวรรค์!J488"")+IMPORTRANGE(""https://docs.google.com/spreadsheets/d/1gFVb7qd7amutrIxAA"&amp;"oM7lcy35hllxznovot8lyOfvDo/edit?usp=share_link"",""น่าน!J488"")+IMPORTRANGE(""https://docs.google.com/spreadsheets/d/1K0Aa9s-6EuHE5M0FG1F9aHLXRCOV917xvycTdLdct0w/edit?usp=share_link"",""พะเยา!J488"")+IMPORTRANGE(""https://docs.google.com/spreadsheets/d/1Y"&amp;"9LPKx95PyL5OKy09d-KbKJSuuEZCFdkhYjwC0XQjBA/edit?usp=share_link"",""พิจิตร!J488"")+IMPORTRANGE(""https://docs.google.com/spreadsheets/d/16OMuOwy2eVqZcYWOouQtTpa8X1L23h4660uVHc0C8os/edit?usp=share_link"",""พิษณุโลก!J488"")+IMPORTRANGE(""https://docs.google."&amp;"com/spreadsheets/d/1GfgTldLG6k77HXaMQzaafODklYuucJZQNs_GAPEfZyY/edit?usp=share_link"",""เพชรบูรณ์!J488"")+IMPORTRANGE(""https://docs.google.com/spreadsheets/d/1gvTMYAnm7v1yG1BKWFtr0DnaTsq59oW9dwWvFgq6hs0/edit?usp=share_link"",""แพร่!J488"")+IMPORTRANGE("""&amp;"https://docs.google.com/spreadsheets/d/1Wbcosgy-Xa1xXUArJSOenub6EfZHUSzc_bpJFWwQUf0/edit?usp=share_link"",""แม่ฮ่องสอน!J488"")+IMPORTRANGE(""https://docs.google.com/spreadsheets/d/1p7ERhsr0qZeSn-KSOdeHS9r0heI-lHtkcn2OH7hP0jQ/edit?usp=share_link"",""ลำปาง!"&amp;"J488"")+IMPORTRANGE(""https://docs.google.com/spreadsheets/d/1-uUXvimVhiU2U0bMN-xi2te0tS4X7DI2GLPnMjzl8cA/edit?usp=share_link"",""ลำพูน!J488"")+IMPORTRANGE(""https://docs.google.com/spreadsheets/d/17HrOaa5pBUI1onckFfumXB8xlg35qb2uBAFfF1D-Myo/edit?usp=shar"&amp;"e_link"",""สุโขทัย!J488"")+IMPORTRANGE(""https://docs.google.com/spreadsheets/d/1ubs5cl16eYL9gHbdHTJtmtYb9MGzHBs7CAphn8kNCgM/edit?usp=share_link"",""อุตรดิตถ์!J488"")+IMPORTRANGE(""https://docs.google.com/spreadsheets/d/1kII0BjS6CtVrBvI8IrytgPdxDrlyQDyigz"&amp;"MsohRtDMs/edit?usp=share_link"",""อุทัยธานี!J488"")
"),39)</f>
        <v>39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74"/>
      <c r="C489" s="574"/>
      <c r="D489" s="574"/>
      <c r="E489" s="574"/>
      <c r="F489" s="585" t="s">
        <v>212</v>
      </c>
      <c r="G489" s="175"/>
      <c r="H489" s="590" t="s">
        <v>35</v>
      </c>
      <c r="I489" s="37">
        <f ca="1">IFERROR(__xludf.DUMMYFUNCTION("IMPORTRANGE(""https://docs.google.com/spreadsheets/d/1KxicF4apzSqm0-jIpmueT4kyZtE-Cwn5zskl7GD4loQ/edit?usp=share_link"",""กำแพงเพชร!I489"")+IMPORTRANGE(""https://docs.google.com/spreadsheets/d/1ZNYWeiFoFA1K1U4xKWqRX29MBvEyRHXORjo734Gnq_c/edit?usp=share_li"&amp;"nk"",""เชียงราย!I489"")
+IMPORTRANGE(""https://docs.google.com/spreadsheets/d/1Jgv0Y7YlHDtsiDawwp-uvifEJ8HVaSn0k2aGHG8-hwM/edit?usp=share_link"",""เชียงใหม่!I489"")+IMPORTRANGE(""https://docs.google.com/spreadsheets/d/1JWG2rZePOz9pe-f-ObA-yDr0VoOX2kSb0qIi"&amp;"x2mTUo8/edit?usp=share_link"",""ตาก!I489"")+IMPORTRANGE(""https://docs.google.com/spreadsheets/d/10nSRjK08hx8Y6HgSOQKNw81lyY46Zc7U_Cj72hBMp9U/edit?usp=share_link"",""นครสวรรค์!I489"")+IMPORTRANGE(""https://docs.google.com/spreadsheets/d/1gFVb7qd7amutrIxAA"&amp;"oM7lcy35hllxznovot8lyOfvDo/edit?usp=share_link"",""น่าน!I489"")+IMPORTRANGE(""https://docs.google.com/spreadsheets/d/1K0Aa9s-6EuHE5M0FG1F9aHLXRCOV917xvycTdLdct0w/edit?usp=share_link"",""พะเยา!I489"")+IMPORTRANGE(""https://docs.google.com/spreadsheets/d/1Y"&amp;"9LPKx95PyL5OKy09d-KbKJSuuEZCFdkhYjwC0XQjBA/edit?usp=share_link"",""พิจิตร!I489"")+IMPORTRANGE(""https://docs.google.com/spreadsheets/d/16OMuOwy2eVqZcYWOouQtTpa8X1L23h4660uVHc0C8os/edit?usp=share_link"",""พิษณุโลก!I489"")+IMPORTRANGE(""https://docs.google."&amp;"com/spreadsheets/d/1GfgTldLG6k77HXaMQzaafODklYuucJZQNs_GAPEfZyY/edit?usp=share_link"",""เพชรบูรณ์!I489"")+IMPORTRANGE(""https://docs.google.com/spreadsheets/d/1gvTMYAnm7v1yG1BKWFtr0DnaTsq59oW9dwWvFgq6hs0/edit?usp=share_link"",""แพร่!I489"")+IMPORTRANGE("""&amp;"https://docs.google.com/spreadsheets/d/1Wbcosgy-Xa1xXUArJSOenub6EfZHUSzc_bpJFWwQUf0/edit?usp=share_link"",""แม่ฮ่องสอน!I489"")+IMPORTRANGE(""https://docs.google.com/spreadsheets/d/1p7ERhsr0qZeSn-KSOdeHS9r0heI-lHtkcn2OH7hP0jQ/edit?usp=share_link"",""ลำปาง!"&amp;"I489"")+IMPORTRANGE(""https://docs.google.com/spreadsheets/d/1-uUXvimVhiU2U0bMN-xi2te0tS4X7DI2GLPnMjzl8cA/edit?usp=share_link"",""ลำพูน!I489"")+IMPORTRANGE(""https://docs.google.com/spreadsheets/d/17HrOaa5pBUI1onckFfumXB8xlg35qb2uBAFfF1D-Myo/edit?usp=shar"&amp;"e_link"",""สุโขทัย!I489"")+IMPORTRANGE(""https://docs.google.com/spreadsheets/d/1ubs5cl16eYL9gHbdHTJtmtYb9MGzHBs7CAphn8kNCgM/edit?usp=share_link"",""อุตรดิตถ์!I489"")+IMPORTRANGE(""https://docs.google.com/spreadsheets/d/1kII0BjS6CtVrBvI8IrytgPdxDrlyQDyigz"&amp;"MsohRtDMs/edit?usp=share_link"",""อุทัยธานี!I489"")
"),131)</f>
        <v>131</v>
      </c>
      <c r="J489" s="183">
        <f ca="1">IFERROR(__xludf.DUMMYFUNCTION("IMPORTRANGE(""https://docs.google.com/spreadsheets/d/1KxicF4apzSqm0-jIpmueT4kyZtE-Cwn5zskl7GD4loQ/edit?usp=share_link"",""กำแพงเพชร!J489"")+IMPORTRANGE(""https://docs.google.com/spreadsheets/d/1ZNYWeiFoFA1K1U4xKWqRX29MBvEyRHXORjo734Gnq_c/edit?usp=share_li"&amp;"nk"",""เชียงราย!J489"")
+IMPORTRANGE(""https://docs.google.com/spreadsheets/d/1Jgv0Y7YlHDtsiDawwp-uvifEJ8HVaSn0k2aGHG8-hwM/edit?usp=share_link"",""เชียงใหม่!J489"")+IMPORTRANGE(""https://docs.google.com/spreadsheets/d/1JWG2rZePOz9pe-f-ObA-yDr0VoOX2kSb0qIi"&amp;"x2mTUo8/edit?usp=share_link"",""ตาก!J489"")+IMPORTRANGE(""https://docs.google.com/spreadsheets/d/10nSRjK08hx8Y6HgSOQKNw81lyY46Zc7U_Cj72hBMp9U/edit?usp=share_link"",""นครสวรรค์!J489"")+IMPORTRANGE(""https://docs.google.com/spreadsheets/d/1gFVb7qd7amutrIxAA"&amp;"oM7lcy35hllxznovot8lyOfvDo/edit?usp=share_link"",""น่าน!J489"")+IMPORTRANGE(""https://docs.google.com/spreadsheets/d/1K0Aa9s-6EuHE5M0FG1F9aHLXRCOV917xvycTdLdct0w/edit?usp=share_link"",""พะเยา!J489"")+IMPORTRANGE(""https://docs.google.com/spreadsheets/d/1Y"&amp;"9LPKx95PyL5OKy09d-KbKJSuuEZCFdkhYjwC0XQjBA/edit?usp=share_link"",""พิจิตร!J489"")+IMPORTRANGE(""https://docs.google.com/spreadsheets/d/16OMuOwy2eVqZcYWOouQtTpa8X1L23h4660uVHc0C8os/edit?usp=share_link"",""พิษณุโลก!J489"")+IMPORTRANGE(""https://docs.google."&amp;"com/spreadsheets/d/1GfgTldLG6k77HXaMQzaafODklYuucJZQNs_GAPEfZyY/edit?usp=share_link"",""เพชรบูรณ์!J489"")+IMPORTRANGE(""https://docs.google.com/spreadsheets/d/1gvTMYAnm7v1yG1BKWFtr0DnaTsq59oW9dwWvFgq6hs0/edit?usp=share_link"",""แพร่!J489"")+IMPORTRANGE("""&amp;"https://docs.google.com/spreadsheets/d/1Wbcosgy-Xa1xXUArJSOenub6EfZHUSzc_bpJFWwQUf0/edit?usp=share_link"",""แม่ฮ่องสอน!J489"")+IMPORTRANGE(""https://docs.google.com/spreadsheets/d/1p7ERhsr0qZeSn-KSOdeHS9r0heI-lHtkcn2OH7hP0jQ/edit?usp=share_link"",""ลำปาง!"&amp;"J489"")+IMPORTRANGE(""https://docs.google.com/spreadsheets/d/1-uUXvimVhiU2U0bMN-xi2te0tS4X7DI2GLPnMjzl8cA/edit?usp=share_link"",""ลำพูน!J489"")+IMPORTRANGE(""https://docs.google.com/spreadsheets/d/17HrOaa5pBUI1onckFfumXB8xlg35qb2uBAFfF1D-Myo/edit?usp=shar"&amp;"e_link"",""สุโขทัย!J489"")+IMPORTRANGE(""https://docs.google.com/spreadsheets/d/1ubs5cl16eYL9gHbdHTJtmtYb9MGzHBs7CAphn8kNCgM/edit?usp=share_link"",""อุตรดิตถ์!J489"")+IMPORTRANGE(""https://docs.google.com/spreadsheets/d/1kII0BjS6CtVrBvI8IrytgPdxDrlyQDyigz"&amp;"MsohRtDMs/edit?usp=share_link"",""อุทัยธานี!J489"")
"),85)</f>
        <v>85</v>
      </c>
      <c r="K489" s="38">
        <f ca="1">IF(I489&gt;0,J489*100/I489,0)</f>
        <v>64.885496183206101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74"/>
      <c r="C490" s="574"/>
      <c r="D490" s="574"/>
      <c r="E490" s="585" t="s">
        <v>63</v>
      </c>
      <c r="F490" s="591"/>
      <c r="G490" s="175"/>
      <c r="H490" s="590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74"/>
      <c r="C491" s="574"/>
      <c r="D491" s="574"/>
      <c r="E491" s="574"/>
      <c r="F491" s="585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KxicF4apzSqm0-jIpmueT4kyZtE-Cwn5zskl7GD4loQ/edit?usp=share_link"",""กำแพงเพชร!J491"")+IMPORTRANGE(""https://docs.google.com/spreadsheets/d/1ZNYWeiFoFA1K1U4xKWqRX29MBvEyRHXORjo734Gnq_c/edit?usp=share_li"&amp;"nk"",""เชียงราย!J491"")
+IMPORTRANGE(""https://docs.google.com/spreadsheets/d/1Jgv0Y7YlHDtsiDawwp-uvifEJ8HVaSn0k2aGHG8-hwM/edit?usp=share_link"",""เชียงใหม่!J491"")+IMPORTRANGE(""https://docs.google.com/spreadsheets/d/1JWG2rZePOz9pe-f-ObA-yDr0VoOX2kSb0qIi"&amp;"x2mTUo8/edit?usp=share_link"",""ตาก!J491"")+IMPORTRANGE(""https://docs.google.com/spreadsheets/d/10nSRjK08hx8Y6HgSOQKNw81lyY46Zc7U_Cj72hBMp9U/edit?usp=share_link"",""นครสวรรค์!J491"")+IMPORTRANGE(""https://docs.google.com/spreadsheets/d/1gFVb7qd7amutrIxAA"&amp;"oM7lcy35hllxznovot8lyOfvDo/edit?usp=share_link"",""น่าน!J491"")+IMPORTRANGE(""https://docs.google.com/spreadsheets/d/1K0Aa9s-6EuHE5M0FG1F9aHLXRCOV917xvycTdLdct0w/edit?usp=share_link"",""พะเยา!J491"")+IMPORTRANGE(""https://docs.google.com/spreadsheets/d/1Y"&amp;"9LPKx95PyL5OKy09d-KbKJSuuEZCFdkhYjwC0XQjBA/edit?usp=share_link"",""พิจิตร!J491"")+IMPORTRANGE(""https://docs.google.com/spreadsheets/d/16OMuOwy2eVqZcYWOouQtTpa8X1L23h4660uVHc0C8os/edit?usp=share_link"",""พิษณุโลก!J491"")+IMPORTRANGE(""https://docs.google."&amp;"com/spreadsheets/d/1GfgTldLG6k77HXaMQzaafODklYuucJZQNs_GAPEfZyY/edit?usp=share_link"",""เพชรบูรณ์!J491"")+IMPORTRANGE(""https://docs.google.com/spreadsheets/d/1gvTMYAnm7v1yG1BKWFtr0DnaTsq59oW9dwWvFgq6hs0/edit?usp=share_link"",""แพร่!J491"")+IMPORTRANGE("""&amp;"https://docs.google.com/spreadsheets/d/1Wbcosgy-Xa1xXUArJSOenub6EfZHUSzc_bpJFWwQUf0/edit?usp=share_link"",""แม่ฮ่องสอน!J491"")+IMPORTRANGE(""https://docs.google.com/spreadsheets/d/1p7ERhsr0qZeSn-KSOdeHS9r0heI-lHtkcn2OH7hP0jQ/edit?usp=share_link"",""ลำปาง!"&amp;"J491"")+IMPORTRANGE(""https://docs.google.com/spreadsheets/d/1-uUXvimVhiU2U0bMN-xi2te0tS4X7DI2GLPnMjzl8cA/edit?usp=share_link"",""ลำพูน!J491"")+IMPORTRANGE(""https://docs.google.com/spreadsheets/d/17HrOaa5pBUI1onckFfumXB8xlg35qb2uBAFfF1D-Myo/edit?usp=shar"&amp;"e_link"",""สุโขทัย!J491"")+IMPORTRANGE(""https://docs.google.com/spreadsheets/d/1ubs5cl16eYL9gHbdHTJtmtYb9MGzHBs7CAphn8kNCgM/edit?usp=share_link"",""อุตรดิตถ์!J491"")+IMPORTRANGE(""https://docs.google.com/spreadsheets/d/1kII0BjS6CtVrBvI8IrytgPdxDrlyQDyigz"&amp;"MsohRtDMs/edit?usp=share_link"",""อุทัยธานี!J491"")
"),5)</f>
        <v>5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74"/>
      <c r="C492" s="574"/>
      <c r="D492" s="574"/>
      <c r="E492" s="574"/>
      <c r="F492" s="585" t="s">
        <v>214</v>
      </c>
      <c r="G492" s="175"/>
      <c r="H492" s="36" t="s">
        <v>35</v>
      </c>
      <c r="I492" s="37">
        <f ca="1">IFERROR(__xludf.DUMMYFUNCTION("IMPORTRANGE(""https://docs.google.com/spreadsheets/d/1KxicF4apzSqm0-jIpmueT4kyZtE-Cwn5zskl7GD4loQ/edit?usp=share_link"",""กำแพงเพชร!I492"")+IMPORTRANGE(""https://docs.google.com/spreadsheets/d/1ZNYWeiFoFA1K1U4xKWqRX29MBvEyRHXORjo734Gnq_c/edit?usp=share_li"&amp;"nk"",""เชียงราย!I492"")
+IMPORTRANGE(""https://docs.google.com/spreadsheets/d/1Jgv0Y7YlHDtsiDawwp-uvifEJ8HVaSn0k2aGHG8-hwM/edit?usp=share_link"",""เชียงใหม่!I492"")+IMPORTRANGE(""https://docs.google.com/spreadsheets/d/1JWG2rZePOz9pe-f-ObA-yDr0VoOX2kSb0qIi"&amp;"x2mTUo8/edit?usp=share_link"",""ตาก!I492"")+IMPORTRANGE(""https://docs.google.com/spreadsheets/d/10nSRjK08hx8Y6HgSOQKNw81lyY46Zc7U_Cj72hBMp9U/edit?usp=share_link"",""นครสวรรค์!I492"")+IMPORTRANGE(""https://docs.google.com/spreadsheets/d/1gFVb7qd7amutrIxAA"&amp;"oM7lcy35hllxznovot8lyOfvDo/edit?usp=share_link"",""น่าน!I492"")+IMPORTRANGE(""https://docs.google.com/spreadsheets/d/1K0Aa9s-6EuHE5M0FG1F9aHLXRCOV917xvycTdLdct0w/edit?usp=share_link"",""พะเยา!I492"")+IMPORTRANGE(""https://docs.google.com/spreadsheets/d/1Y"&amp;"9LPKx95PyL5OKy09d-KbKJSuuEZCFdkhYjwC0XQjBA/edit?usp=share_link"",""พิจิตร!I492"")+IMPORTRANGE(""https://docs.google.com/spreadsheets/d/16OMuOwy2eVqZcYWOouQtTpa8X1L23h4660uVHc0C8os/edit?usp=share_link"",""พิษณุโลก!I492"")+IMPORTRANGE(""https://docs.google."&amp;"com/spreadsheets/d/1GfgTldLG6k77HXaMQzaafODklYuucJZQNs_GAPEfZyY/edit?usp=share_link"",""เพชรบูรณ์!I492"")+IMPORTRANGE(""https://docs.google.com/spreadsheets/d/1gvTMYAnm7v1yG1BKWFtr0DnaTsq59oW9dwWvFgq6hs0/edit?usp=share_link"",""แพร่!I492"")+IMPORTRANGE("""&amp;"https://docs.google.com/spreadsheets/d/1Wbcosgy-Xa1xXUArJSOenub6EfZHUSzc_bpJFWwQUf0/edit?usp=share_link"",""แม่ฮ่องสอน!I492"")+IMPORTRANGE(""https://docs.google.com/spreadsheets/d/1p7ERhsr0qZeSn-KSOdeHS9r0heI-lHtkcn2OH7hP0jQ/edit?usp=share_link"",""ลำปาง!"&amp;"I492"")+IMPORTRANGE(""https://docs.google.com/spreadsheets/d/1-uUXvimVhiU2U0bMN-xi2te0tS4X7DI2GLPnMjzl8cA/edit?usp=share_link"",""ลำพูน!I492"")+IMPORTRANGE(""https://docs.google.com/spreadsheets/d/17HrOaa5pBUI1onckFfumXB8xlg35qb2uBAFfF1D-Myo/edit?usp=shar"&amp;"e_link"",""สุโขทัย!I492"")+IMPORTRANGE(""https://docs.google.com/spreadsheets/d/1ubs5cl16eYL9gHbdHTJtmtYb9MGzHBs7CAphn8kNCgM/edit?usp=share_link"",""อุตรดิตถ์!I492"")+IMPORTRANGE(""https://docs.google.com/spreadsheets/d/1kII0BjS6CtVrBvI8IrytgPdxDrlyQDyigz"&amp;"MsohRtDMs/edit?usp=share_link"",""อุทัยธานี!I492"")
"),17)</f>
        <v>17</v>
      </c>
      <c r="J492" s="183">
        <f ca="1">IFERROR(__xludf.DUMMYFUNCTION("IMPORTRANGE(""https://docs.google.com/spreadsheets/d/1KxicF4apzSqm0-jIpmueT4kyZtE-Cwn5zskl7GD4loQ/edit?usp=share_link"",""กำแพงเพชร!J492"")+IMPORTRANGE(""https://docs.google.com/spreadsheets/d/1ZNYWeiFoFA1K1U4xKWqRX29MBvEyRHXORjo734Gnq_c/edit?usp=share_li"&amp;"nk"",""เชียงราย!J492"")
+IMPORTRANGE(""https://docs.google.com/spreadsheets/d/1Jgv0Y7YlHDtsiDawwp-uvifEJ8HVaSn0k2aGHG8-hwM/edit?usp=share_link"",""เชียงใหม่!J492"")+IMPORTRANGE(""https://docs.google.com/spreadsheets/d/1JWG2rZePOz9pe-f-ObA-yDr0VoOX2kSb0qIi"&amp;"x2mTUo8/edit?usp=share_link"",""ตาก!J492"")+IMPORTRANGE(""https://docs.google.com/spreadsheets/d/10nSRjK08hx8Y6HgSOQKNw81lyY46Zc7U_Cj72hBMp9U/edit?usp=share_link"",""นครสวรรค์!J492"")+IMPORTRANGE(""https://docs.google.com/spreadsheets/d/1gFVb7qd7amutrIxAA"&amp;"oM7lcy35hllxznovot8lyOfvDo/edit?usp=share_link"",""น่าน!J492"")+IMPORTRANGE(""https://docs.google.com/spreadsheets/d/1K0Aa9s-6EuHE5M0FG1F9aHLXRCOV917xvycTdLdct0w/edit?usp=share_link"",""พะเยา!J492"")+IMPORTRANGE(""https://docs.google.com/spreadsheets/d/1Y"&amp;"9LPKx95PyL5OKy09d-KbKJSuuEZCFdkhYjwC0XQjBA/edit?usp=share_link"",""พิจิตร!J492"")+IMPORTRANGE(""https://docs.google.com/spreadsheets/d/16OMuOwy2eVqZcYWOouQtTpa8X1L23h4660uVHc0C8os/edit?usp=share_link"",""พิษณุโลก!J492"")+IMPORTRANGE(""https://docs.google."&amp;"com/spreadsheets/d/1GfgTldLG6k77HXaMQzaafODklYuucJZQNs_GAPEfZyY/edit?usp=share_link"",""เพชรบูรณ์!J492"")+IMPORTRANGE(""https://docs.google.com/spreadsheets/d/1gvTMYAnm7v1yG1BKWFtr0DnaTsq59oW9dwWvFgq6hs0/edit?usp=share_link"",""แพร่!J492"")+IMPORTRANGE("""&amp;"https://docs.google.com/spreadsheets/d/1Wbcosgy-Xa1xXUArJSOenub6EfZHUSzc_bpJFWwQUf0/edit?usp=share_link"",""แม่ฮ่องสอน!J492"")+IMPORTRANGE(""https://docs.google.com/spreadsheets/d/1p7ERhsr0qZeSn-KSOdeHS9r0heI-lHtkcn2OH7hP0jQ/edit?usp=share_link"",""ลำปาง!"&amp;"J492"")+IMPORTRANGE(""https://docs.google.com/spreadsheets/d/1-uUXvimVhiU2U0bMN-xi2te0tS4X7DI2GLPnMjzl8cA/edit?usp=share_link"",""ลำพูน!J492"")+IMPORTRANGE(""https://docs.google.com/spreadsheets/d/17HrOaa5pBUI1onckFfumXB8xlg35qb2uBAFfF1D-Myo/edit?usp=shar"&amp;"e_link"",""สุโขทัย!J492"")+IMPORTRANGE(""https://docs.google.com/spreadsheets/d/1ubs5cl16eYL9gHbdHTJtmtYb9MGzHBs7CAphn8kNCgM/edit?usp=share_link"",""อุตรดิตถ์!J492"")+IMPORTRANGE(""https://docs.google.com/spreadsheets/d/1kII0BjS6CtVrBvI8IrytgPdxDrlyQDyigz"&amp;"MsohRtDMs/edit?usp=share_link"",""อุทัยธานี!J492"")
"),10)</f>
        <v>10</v>
      </c>
      <c r="K492" s="38">
        <f ca="1">IF(I492&gt;0,J492*100/I492,0)</f>
        <v>58.823529411764703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74"/>
      <c r="C493" s="574"/>
      <c r="D493" s="592" t="s">
        <v>59</v>
      </c>
      <c r="E493" s="574"/>
      <c r="F493" s="586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74"/>
      <c r="C494" s="574"/>
      <c r="D494" s="574"/>
      <c r="E494" s="585" t="s">
        <v>207</v>
      </c>
      <c r="F494" s="586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74"/>
      <c r="C495" s="574"/>
      <c r="D495" s="574"/>
      <c r="E495" s="574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KxicF4apzSqm0-jIpmueT4kyZtE-Cwn5zskl7GD4loQ/edit?usp=share_link"",""กำแพงเพชร!I495"")+IMPORTRANGE(""https://docs.google.com/spreadsheets/d/1ZNYWeiFoFA1K1U4xKWqRX29MBvEyRHXORjo734Gnq_c/edit?usp=share_li"&amp;"nk"",""เชียงราย!I495"")
+IMPORTRANGE(""https://docs.google.com/spreadsheets/d/1Jgv0Y7YlHDtsiDawwp-uvifEJ8HVaSn0k2aGHG8-hwM/edit?usp=share_link"",""เชียงใหม่!I495"")+IMPORTRANGE(""https://docs.google.com/spreadsheets/d/1JWG2rZePOz9pe-f-ObA-yDr0VoOX2kSb0qIi"&amp;"x2mTUo8/edit?usp=share_link"",""ตาก!I495"")+IMPORTRANGE(""https://docs.google.com/spreadsheets/d/10nSRjK08hx8Y6HgSOQKNw81lyY46Zc7U_Cj72hBMp9U/edit?usp=share_link"",""นครสวรรค์!I495"")+IMPORTRANGE(""https://docs.google.com/spreadsheets/d/1gFVb7qd7amutrIxAA"&amp;"oM7lcy35hllxznovot8lyOfvDo/edit?usp=share_link"",""น่าน!I495"")+IMPORTRANGE(""https://docs.google.com/spreadsheets/d/1K0Aa9s-6EuHE5M0FG1F9aHLXRCOV917xvycTdLdct0w/edit?usp=share_link"",""พะเยา!I495"")+IMPORTRANGE(""https://docs.google.com/spreadsheets/d/1Y"&amp;"9LPKx95PyL5OKy09d-KbKJSuuEZCFdkhYjwC0XQjBA/edit?usp=share_link"",""พิจิตร!I495"")+IMPORTRANGE(""https://docs.google.com/spreadsheets/d/16OMuOwy2eVqZcYWOouQtTpa8X1L23h4660uVHc0C8os/edit?usp=share_link"",""พิษณุโลก!I495"")+IMPORTRANGE(""https://docs.google."&amp;"com/spreadsheets/d/1GfgTldLG6k77HXaMQzaafODklYuucJZQNs_GAPEfZyY/edit?usp=share_link"",""เพชรบูรณ์!I495"")+IMPORTRANGE(""https://docs.google.com/spreadsheets/d/1gvTMYAnm7v1yG1BKWFtr0DnaTsq59oW9dwWvFgq6hs0/edit?usp=share_link"",""แพร่!I495"")+IMPORTRANGE("""&amp;"https://docs.google.com/spreadsheets/d/1Wbcosgy-Xa1xXUArJSOenub6EfZHUSzc_bpJFWwQUf0/edit?usp=share_link"",""แม่ฮ่องสอน!I495"")+IMPORTRANGE(""https://docs.google.com/spreadsheets/d/1p7ERhsr0qZeSn-KSOdeHS9r0heI-lHtkcn2OH7hP0jQ/edit?usp=share_link"",""ลำปาง!"&amp;"I495"")+IMPORTRANGE(""https://docs.google.com/spreadsheets/d/1-uUXvimVhiU2U0bMN-xi2te0tS4X7DI2GLPnMjzl8cA/edit?usp=share_link"",""ลำพูน!I495"")+IMPORTRANGE(""https://docs.google.com/spreadsheets/d/17HrOaa5pBUI1onckFfumXB8xlg35qb2uBAFfF1D-Myo/edit?usp=shar"&amp;"e_link"",""สุโขทัย!I495"")+IMPORTRANGE(""https://docs.google.com/spreadsheets/d/1ubs5cl16eYL9gHbdHTJtmtYb9MGzHBs7CAphn8kNCgM/edit?usp=share_link"",""อุตรดิตถ์!I495"")+IMPORTRANGE(""https://docs.google.com/spreadsheets/d/1kII0BjS6CtVrBvI8IrytgPdxDrlyQDyigz"&amp;"MsohRtDMs/edit?usp=share_link"",""อุทัยธานี!I495"")
"),11790)</f>
        <v>11790</v>
      </c>
      <c r="J495" s="183">
        <f ca="1">IFERROR(__xludf.DUMMYFUNCTION("IMPORTRANGE(""https://docs.google.com/spreadsheets/d/1KxicF4apzSqm0-jIpmueT4kyZtE-Cwn5zskl7GD4loQ/edit?usp=share_link"",""กำแพงเพชร!J495"")+IMPORTRANGE(""https://docs.google.com/spreadsheets/d/1ZNYWeiFoFA1K1U4xKWqRX29MBvEyRHXORjo734Gnq_c/edit?usp=share_li"&amp;"nk"",""เชียงราย!J495"")
+IMPORTRANGE(""https://docs.google.com/spreadsheets/d/1Jgv0Y7YlHDtsiDawwp-uvifEJ8HVaSn0k2aGHG8-hwM/edit?usp=share_link"",""เชียงใหม่!J495"")+IMPORTRANGE(""https://docs.google.com/spreadsheets/d/1JWG2rZePOz9pe-f-ObA-yDr0VoOX2kSb0qIi"&amp;"x2mTUo8/edit?usp=share_link"",""ตาก!J495"")+IMPORTRANGE(""https://docs.google.com/spreadsheets/d/10nSRjK08hx8Y6HgSOQKNw81lyY46Zc7U_Cj72hBMp9U/edit?usp=share_link"",""นครสวรรค์!J495"")+IMPORTRANGE(""https://docs.google.com/spreadsheets/d/1gFVb7qd7amutrIxAA"&amp;"oM7lcy35hllxznovot8lyOfvDo/edit?usp=share_link"",""น่าน!J495"")+IMPORTRANGE(""https://docs.google.com/spreadsheets/d/1K0Aa9s-6EuHE5M0FG1F9aHLXRCOV917xvycTdLdct0w/edit?usp=share_link"",""พะเยา!J495"")+IMPORTRANGE(""https://docs.google.com/spreadsheets/d/1Y"&amp;"9LPKx95PyL5OKy09d-KbKJSuuEZCFdkhYjwC0XQjBA/edit?usp=share_link"",""พิจิตร!J495"")+IMPORTRANGE(""https://docs.google.com/spreadsheets/d/16OMuOwy2eVqZcYWOouQtTpa8X1L23h4660uVHc0C8os/edit?usp=share_link"",""พิษณุโลก!J495"")+IMPORTRANGE(""https://docs.google."&amp;"com/spreadsheets/d/1GfgTldLG6k77HXaMQzaafODklYuucJZQNs_GAPEfZyY/edit?usp=share_link"",""เพชรบูรณ์!J495"")+IMPORTRANGE(""https://docs.google.com/spreadsheets/d/1gvTMYAnm7v1yG1BKWFtr0DnaTsq59oW9dwWvFgq6hs0/edit?usp=share_link"",""แพร่!J495"")+IMPORTRANGE("""&amp;"https://docs.google.com/spreadsheets/d/1Wbcosgy-Xa1xXUArJSOenub6EfZHUSzc_bpJFWwQUf0/edit?usp=share_link"",""แม่ฮ่องสอน!J495"")+IMPORTRANGE(""https://docs.google.com/spreadsheets/d/1p7ERhsr0qZeSn-KSOdeHS9r0heI-lHtkcn2OH7hP0jQ/edit?usp=share_link"",""ลำปาง!"&amp;"J495"")+IMPORTRANGE(""https://docs.google.com/spreadsheets/d/1-uUXvimVhiU2U0bMN-xi2te0tS4X7DI2GLPnMjzl8cA/edit?usp=share_link"",""ลำพูน!J495"")+IMPORTRANGE(""https://docs.google.com/spreadsheets/d/17HrOaa5pBUI1onckFfumXB8xlg35qb2uBAFfF1D-Myo/edit?usp=shar"&amp;"e_link"",""สุโขทัย!J495"")+IMPORTRANGE(""https://docs.google.com/spreadsheets/d/1ubs5cl16eYL9gHbdHTJtmtYb9MGzHBs7CAphn8kNCgM/edit?usp=share_link"",""อุตรดิตถ์!J495"")+IMPORTRANGE(""https://docs.google.com/spreadsheets/d/1kII0BjS6CtVrBvI8IrytgPdxDrlyQDyigz"&amp;"MsohRtDMs/edit?usp=share_link"",""อุทัยธานี!J495"")
"),0)</f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74"/>
      <c r="C496" s="574"/>
      <c r="D496" s="574"/>
      <c r="E496" s="574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KxicF4apzSqm0-jIpmueT4kyZtE-Cwn5zskl7GD4loQ/edit?usp=share_link"",""กำแพงเพชร!J496"")+IMPORTRANGE(""https://docs.google.com/spreadsheets/d/1ZNYWeiFoFA1K1U4xKWqRX29MBvEyRHXORjo734Gnq_c/edit?usp=share_li"&amp;"nk"",""เชียงราย!J496"")
+IMPORTRANGE(""https://docs.google.com/spreadsheets/d/1Jgv0Y7YlHDtsiDawwp-uvifEJ8HVaSn0k2aGHG8-hwM/edit?usp=share_link"",""เชียงใหม่!J496"")+IMPORTRANGE(""https://docs.google.com/spreadsheets/d/1JWG2rZePOz9pe-f-ObA-yDr0VoOX2kSb0qIi"&amp;"x2mTUo8/edit?usp=share_link"",""ตาก!J496"")+IMPORTRANGE(""https://docs.google.com/spreadsheets/d/10nSRjK08hx8Y6HgSOQKNw81lyY46Zc7U_Cj72hBMp9U/edit?usp=share_link"",""นครสวรรค์!J496"")+IMPORTRANGE(""https://docs.google.com/spreadsheets/d/1gFVb7qd7amutrIxAA"&amp;"oM7lcy35hllxznovot8lyOfvDo/edit?usp=share_link"",""น่าน!J496"")+IMPORTRANGE(""https://docs.google.com/spreadsheets/d/1K0Aa9s-6EuHE5M0FG1F9aHLXRCOV917xvycTdLdct0w/edit?usp=share_link"",""พะเยา!J496"")+IMPORTRANGE(""https://docs.google.com/spreadsheets/d/1Y"&amp;"9LPKx95PyL5OKy09d-KbKJSuuEZCFdkhYjwC0XQjBA/edit?usp=share_link"",""พิจิตร!J496"")+IMPORTRANGE(""https://docs.google.com/spreadsheets/d/16OMuOwy2eVqZcYWOouQtTpa8X1L23h4660uVHc0C8os/edit?usp=share_link"",""พิษณุโลก!J496"")+IMPORTRANGE(""https://docs.google."&amp;"com/spreadsheets/d/1GfgTldLG6k77HXaMQzaafODklYuucJZQNs_GAPEfZyY/edit?usp=share_link"",""เพชรบูรณ์!J496"")+IMPORTRANGE(""https://docs.google.com/spreadsheets/d/1gvTMYAnm7v1yG1BKWFtr0DnaTsq59oW9dwWvFgq6hs0/edit?usp=share_link"",""แพร่!J496"")+IMPORTRANGE("""&amp;"https://docs.google.com/spreadsheets/d/1Wbcosgy-Xa1xXUArJSOenub6EfZHUSzc_bpJFWwQUf0/edit?usp=share_link"",""แม่ฮ่องสอน!J496"")+IMPORTRANGE(""https://docs.google.com/spreadsheets/d/1p7ERhsr0qZeSn-KSOdeHS9r0heI-lHtkcn2OH7hP0jQ/edit?usp=share_link"",""ลำปาง!"&amp;"J496"")+IMPORTRANGE(""https://docs.google.com/spreadsheets/d/1-uUXvimVhiU2U0bMN-xi2te0tS4X7DI2GLPnMjzl8cA/edit?usp=share_link"",""ลำพูน!J496"")+IMPORTRANGE(""https://docs.google.com/spreadsheets/d/17HrOaa5pBUI1onckFfumXB8xlg35qb2uBAFfF1D-Myo/edit?usp=shar"&amp;"e_link"",""สุโขทัย!J496"")+IMPORTRANGE(""https://docs.google.com/spreadsheets/d/1ubs5cl16eYL9gHbdHTJtmtYb9MGzHBs7CAphn8kNCgM/edit?usp=share_link"",""อุตรดิตถ์!J496"")+IMPORTRANGE(""https://docs.google.com/spreadsheets/d/1kII0BjS6CtVrBvI8IrytgPdxDrlyQDyigz"&amp;"MsohRtDMs/edit?usp=share_link"",""อุทัยธานี!J496"")
"),0)</f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74"/>
      <c r="C497" s="574"/>
      <c r="D497" s="574"/>
      <c r="E497" s="585" t="s">
        <v>62</v>
      </c>
      <c r="F497" s="586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74"/>
      <c r="C498" s="574"/>
      <c r="D498" s="574"/>
      <c r="E498" s="586"/>
      <c r="F498" s="593" t="s">
        <v>217</v>
      </c>
      <c r="G498" s="175"/>
      <c r="H498" s="36" t="s">
        <v>46</v>
      </c>
      <c r="I498" s="37">
        <f ca="1">IFERROR(__xludf.DUMMYFUNCTION("IMPORTRANGE(""https://docs.google.com/spreadsheets/d/1KxicF4apzSqm0-jIpmueT4kyZtE-Cwn5zskl7GD4loQ/edit?usp=share_link"",""กำแพงเพชร!I498"")+IMPORTRANGE(""https://docs.google.com/spreadsheets/d/1ZNYWeiFoFA1K1U4xKWqRX29MBvEyRHXORjo734Gnq_c/edit?usp=share_li"&amp;"nk"",""เชียงราย!I498"")
+IMPORTRANGE(""https://docs.google.com/spreadsheets/d/1Jgv0Y7YlHDtsiDawwp-uvifEJ8HVaSn0k2aGHG8-hwM/edit?usp=share_link"",""เชียงใหม่!I498"")+IMPORTRANGE(""https://docs.google.com/spreadsheets/d/1JWG2rZePOz9pe-f-ObA-yDr0VoOX2kSb0qIi"&amp;"x2mTUo8/edit?usp=share_link"",""ตาก!I498"")+IMPORTRANGE(""https://docs.google.com/spreadsheets/d/10nSRjK08hx8Y6HgSOQKNw81lyY46Zc7U_Cj72hBMp9U/edit?usp=share_link"",""นครสวรรค์!I498"")+IMPORTRANGE(""https://docs.google.com/spreadsheets/d/1gFVb7qd7amutrIxAA"&amp;"oM7lcy35hllxznovot8lyOfvDo/edit?usp=share_link"",""น่าน!I498"")+IMPORTRANGE(""https://docs.google.com/spreadsheets/d/1K0Aa9s-6EuHE5M0FG1F9aHLXRCOV917xvycTdLdct0w/edit?usp=share_link"",""พะเยา!I498"")+IMPORTRANGE(""https://docs.google.com/spreadsheets/d/1Y"&amp;"9LPKx95PyL5OKy09d-KbKJSuuEZCFdkhYjwC0XQjBA/edit?usp=share_link"",""พิจิตร!I498"")+IMPORTRANGE(""https://docs.google.com/spreadsheets/d/16OMuOwy2eVqZcYWOouQtTpa8X1L23h4660uVHc0C8os/edit?usp=share_link"",""พิษณุโลก!I498"")+IMPORTRANGE(""https://docs.google."&amp;"com/spreadsheets/d/1GfgTldLG6k77HXaMQzaafODklYuucJZQNs_GAPEfZyY/edit?usp=share_link"",""เพชรบูรณ์!I498"")+IMPORTRANGE(""https://docs.google.com/spreadsheets/d/1gvTMYAnm7v1yG1BKWFtr0DnaTsq59oW9dwWvFgq6hs0/edit?usp=share_link"",""แพร่!I498"")+IMPORTRANGE("""&amp;"https://docs.google.com/spreadsheets/d/1Wbcosgy-Xa1xXUArJSOenub6EfZHUSzc_bpJFWwQUf0/edit?usp=share_link"",""แม่ฮ่องสอน!I498"")+IMPORTRANGE(""https://docs.google.com/spreadsheets/d/1p7ERhsr0qZeSn-KSOdeHS9r0heI-lHtkcn2OH7hP0jQ/edit?usp=share_link"",""ลำปาง!"&amp;"I498"")+IMPORTRANGE(""https://docs.google.com/spreadsheets/d/1-uUXvimVhiU2U0bMN-xi2te0tS4X7DI2GLPnMjzl8cA/edit?usp=share_link"",""ลำพูน!I498"")+IMPORTRANGE(""https://docs.google.com/spreadsheets/d/17HrOaa5pBUI1onckFfumXB8xlg35qb2uBAFfF1D-Myo/edit?usp=shar"&amp;"e_link"",""สุโขทัย!I498"")+IMPORTRANGE(""https://docs.google.com/spreadsheets/d/1ubs5cl16eYL9gHbdHTJtmtYb9MGzHBs7CAphn8kNCgM/edit?usp=share_link"",""อุตรดิตถ์!I498"")+IMPORTRANGE(""https://docs.google.com/spreadsheets/d/1kII0BjS6CtVrBvI8IrytgPdxDrlyQDyigz"&amp;"MsohRtDMs/edit?usp=share_link"",""อุทัยธานี!I498"")
"),1310)</f>
        <v>1310</v>
      </c>
      <c r="J498" s="183">
        <f ca="1">IFERROR(__xludf.DUMMYFUNCTION("IMPORTRANGE(""https://docs.google.com/spreadsheets/d/1KxicF4apzSqm0-jIpmueT4kyZtE-Cwn5zskl7GD4loQ/edit?usp=share_link"",""กำแพงเพชร!J498"")+IMPORTRANGE(""https://docs.google.com/spreadsheets/d/1ZNYWeiFoFA1K1U4xKWqRX29MBvEyRHXORjo734Gnq_c/edit?usp=share_li"&amp;"nk"",""เชียงราย!J498"")
+IMPORTRANGE(""https://docs.google.com/spreadsheets/d/1Jgv0Y7YlHDtsiDawwp-uvifEJ8HVaSn0k2aGHG8-hwM/edit?usp=share_link"",""เชียงใหม่!J498"")+IMPORTRANGE(""https://docs.google.com/spreadsheets/d/1JWG2rZePOz9pe-f-ObA-yDr0VoOX2kSb0qIi"&amp;"x2mTUo8/edit?usp=share_link"",""ตาก!J498"")+IMPORTRANGE(""https://docs.google.com/spreadsheets/d/10nSRjK08hx8Y6HgSOQKNw81lyY46Zc7U_Cj72hBMp9U/edit?usp=share_link"",""นครสวรรค์!J498"")+IMPORTRANGE(""https://docs.google.com/spreadsheets/d/1gFVb7qd7amutrIxAA"&amp;"oM7lcy35hllxznovot8lyOfvDo/edit?usp=share_link"",""น่าน!J498"")+IMPORTRANGE(""https://docs.google.com/spreadsheets/d/1K0Aa9s-6EuHE5M0FG1F9aHLXRCOV917xvycTdLdct0w/edit?usp=share_link"",""พะเยา!J498"")+IMPORTRANGE(""https://docs.google.com/spreadsheets/d/1Y"&amp;"9LPKx95PyL5OKy09d-KbKJSuuEZCFdkhYjwC0XQjBA/edit?usp=share_link"",""พิจิตร!J498"")+IMPORTRANGE(""https://docs.google.com/spreadsheets/d/16OMuOwy2eVqZcYWOouQtTpa8X1L23h4660uVHc0C8os/edit?usp=share_link"",""พิษณุโลก!J498"")+IMPORTRANGE(""https://docs.google."&amp;"com/spreadsheets/d/1GfgTldLG6k77HXaMQzaafODklYuucJZQNs_GAPEfZyY/edit?usp=share_link"",""เพชรบูรณ์!J498"")+IMPORTRANGE(""https://docs.google.com/spreadsheets/d/1gvTMYAnm7v1yG1BKWFtr0DnaTsq59oW9dwWvFgq6hs0/edit?usp=share_link"",""แพร่!J498"")+IMPORTRANGE("""&amp;"https://docs.google.com/spreadsheets/d/1Wbcosgy-Xa1xXUArJSOenub6EfZHUSzc_bpJFWwQUf0/edit?usp=share_link"",""แม่ฮ่องสอน!J498"")+IMPORTRANGE(""https://docs.google.com/spreadsheets/d/1p7ERhsr0qZeSn-KSOdeHS9r0heI-lHtkcn2OH7hP0jQ/edit?usp=share_link"",""ลำปาง!"&amp;"J498"")+IMPORTRANGE(""https://docs.google.com/spreadsheets/d/1-uUXvimVhiU2U0bMN-xi2te0tS4X7DI2GLPnMjzl8cA/edit?usp=share_link"",""ลำพูน!J498"")+IMPORTRANGE(""https://docs.google.com/spreadsheets/d/17HrOaa5pBUI1onckFfumXB8xlg35qb2uBAFfF1D-Myo/edit?usp=shar"&amp;"e_link"",""สุโขทัย!J498"")+IMPORTRANGE(""https://docs.google.com/spreadsheets/d/1ubs5cl16eYL9gHbdHTJtmtYb9MGzHBs7CAphn8kNCgM/edit?usp=share_link"",""อุตรดิตถ์!J498"")+IMPORTRANGE(""https://docs.google.com/spreadsheets/d/1kII0BjS6CtVrBvI8IrytgPdxDrlyQDyigz"&amp;"MsohRtDMs/edit?usp=share_link"",""อุทัยธานี!J498"")
"),50)</f>
        <v>50</v>
      </c>
      <c r="K498" s="38">
        <f ca="1">IF(I498&gt;0,J498*100/I498,0)</f>
        <v>3.8167938931297711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74"/>
      <c r="C499" s="574"/>
      <c r="D499" s="574"/>
      <c r="E499" s="586"/>
      <c r="F499" s="593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KxicF4apzSqm0-jIpmueT4kyZtE-Cwn5zskl7GD4loQ/edit?usp=share_link"",""กำแพงเพชร!J499"")+IMPORTRANGE(""https://docs.google.com/spreadsheets/d/1ZNYWeiFoFA1K1U4xKWqRX29MBvEyRHXORjo734Gnq_c/edit?usp=share_li"&amp;"nk"",""เชียงราย!J499"")
+IMPORTRANGE(""https://docs.google.com/spreadsheets/d/1Jgv0Y7YlHDtsiDawwp-uvifEJ8HVaSn0k2aGHG8-hwM/edit?usp=share_link"",""เชียงใหม่!J499"")+IMPORTRANGE(""https://docs.google.com/spreadsheets/d/1JWG2rZePOz9pe-f-ObA-yDr0VoOX2kSb0qIi"&amp;"x2mTUo8/edit?usp=share_link"",""ตาก!J499"")+IMPORTRANGE(""https://docs.google.com/spreadsheets/d/10nSRjK08hx8Y6HgSOQKNw81lyY46Zc7U_Cj72hBMp9U/edit?usp=share_link"",""นครสวรรค์!J499"")+IMPORTRANGE(""https://docs.google.com/spreadsheets/d/1gFVb7qd7amutrIxAA"&amp;"oM7lcy35hllxznovot8lyOfvDo/edit?usp=share_link"",""น่าน!J499"")+IMPORTRANGE(""https://docs.google.com/spreadsheets/d/1K0Aa9s-6EuHE5M0FG1F9aHLXRCOV917xvycTdLdct0w/edit?usp=share_link"",""พะเยา!J499"")+IMPORTRANGE(""https://docs.google.com/spreadsheets/d/1Y"&amp;"9LPKx95PyL5OKy09d-KbKJSuuEZCFdkhYjwC0XQjBA/edit?usp=share_link"",""พิจิตร!J499"")+IMPORTRANGE(""https://docs.google.com/spreadsheets/d/16OMuOwy2eVqZcYWOouQtTpa8X1L23h4660uVHc0C8os/edit?usp=share_link"",""พิษณุโลก!J499"")+IMPORTRANGE(""https://docs.google."&amp;"com/spreadsheets/d/1GfgTldLG6k77HXaMQzaafODklYuucJZQNs_GAPEfZyY/edit?usp=share_link"",""เพชรบูรณ์!J499"")+IMPORTRANGE(""https://docs.google.com/spreadsheets/d/1gvTMYAnm7v1yG1BKWFtr0DnaTsq59oW9dwWvFgq6hs0/edit?usp=share_link"",""แพร่!J499"")+IMPORTRANGE("""&amp;"https://docs.google.com/spreadsheets/d/1Wbcosgy-Xa1xXUArJSOenub6EfZHUSzc_bpJFWwQUf0/edit?usp=share_link"",""แม่ฮ่องสอน!J499"")+IMPORTRANGE(""https://docs.google.com/spreadsheets/d/1p7ERhsr0qZeSn-KSOdeHS9r0heI-lHtkcn2OH7hP0jQ/edit?usp=share_link"",""ลำปาง!"&amp;"J499"")+IMPORTRANGE(""https://docs.google.com/spreadsheets/d/1-uUXvimVhiU2U0bMN-xi2te0tS4X7DI2GLPnMjzl8cA/edit?usp=share_link"",""ลำพูน!J499"")+IMPORTRANGE(""https://docs.google.com/spreadsheets/d/17HrOaa5pBUI1onckFfumXB8xlg35qb2uBAFfF1D-Myo/edit?usp=shar"&amp;"e_link"",""สุโขทัย!J499"")+IMPORTRANGE(""https://docs.google.com/spreadsheets/d/1ubs5cl16eYL9gHbdHTJtmtYb9MGzHBs7CAphn8kNCgM/edit?usp=share_link"",""อุตรดิตถ์!J499"")+IMPORTRANGE(""https://docs.google.com/spreadsheets/d/1kII0BjS6CtVrBvI8IrytgPdxDrlyQDyigz"&amp;"MsohRtDMs/edit?usp=share_link"",""อุทัยธานี!J499"")
"),5)</f>
        <v>5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49">J516</f>
        <v>0</v>
      </c>
      <c r="K500" s="601">
        <f t="shared" ref="K500:K501" si="250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4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49"/>
        <v>0</v>
      </c>
      <c r="K501" s="610">
        <f t="shared" si="250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565"/>
      <c r="C502" s="565" t="s">
        <v>16</v>
      </c>
      <c r="D502" s="930" t="s">
        <v>17</v>
      </c>
      <c r="E502" s="923"/>
      <c r="F502" s="923"/>
      <c r="G502" s="568"/>
      <c r="H502" s="613" t="s">
        <v>12</v>
      </c>
      <c r="I502" s="44"/>
      <c r="J502" s="44"/>
      <c r="K502" s="45"/>
      <c r="L502" s="614">
        <f t="shared" ref="L502:N502" si="251">L503+L504</f>
        <v>0</v>
      </c>
      <c r="M502" s="614">
        <f t="shared" si="251"/>
        <v>0</v>
      </c>
      <c r="N502" s="614">
        <f t="shared" si="251"/>
        <v>0</v>
      </c>
      <c r="O502" s="614">
        <f t="shared" ref="O502:O507" si="252">IF(L502&gt;0,N502*100/L502,0)</f>
        <v>0</v>
      </c>
      <c r="P502" s="614">
        <f t="shared" ref="P502:P507" si="253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565"/>
      <c r="C503" s="565"/>
      <c r="D503" s="566"/>
      <c r="E503" s="567" t="s">
        <v>184</v>
      </c>
      <c r="F503" s="565"/>
      <c r="G503" s="568"/>
      <c r="H503" s="165" t="s">
        <v>12</v>
      </c>
      <c r="I503" s="44"/>
      <c r="J503" s="44"/>
      <c r="K503" s="45"/>
      <c r="L503" s="45">
        <f t="shared" ref="L503:N503" si="254">L506+L513</f>
        <v>0</v>
      </c>
      <c r="M503" s="45">
        <f t="shared" si="254"/>
        <v>0</v>
      </c>
      <c r="N503" s="45">
        <f t="shared" si="254"/>
        <v>0</v>
      </c>
      <c r="O503" s="45">
        <f t="shared" si="252"/>
        <v>0</v>
      </c>
      <c r="P503" s="45">
        <f t="shared" si="253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0"/>
      <c r="C504" s="565"/>
      <c r="D504" s="566"/>
      <c r="E504" s="567" t="s">
        <v>185</v>
      </c>
      <c r="F504" s="565"/>
      <c r="G504" s="568"/>
      <c r="H504" s="165" t="s">
        <v>12</v>
      </c>
      <c r="I504" s="44"/>
      <c r="J504" s="44"/>
      <c r="K504" s="45"/>
      <c r="L504" s="45">
        <f t="shared" ref="L504:N504" si="255">L507+L514</f>
        <v>0</v>
      </c>
      <c r="M504" s="45">
        <f t="shared" si="255"/>
        <v>0</v>
      </c>
      <c r="N504" s="45">
        <f t="shared" si="255"/>
        <v>0</v>
      </c>
      <c r="O504" s="45">
        <f t="shared" si="252"/>
        <v>0</v>
      </c>
      <c r="P504" s="45">
        <f t="shared" si="253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0"/>
      <c r="C505" s="565"/>
      <c r="D505" s="615" t="s">
        <v>20</v>
      </c>
      <c r="E505" s="565"/>
      <c r="F505" s="565"/>
      <c r="G505" s="568"/>
      <c r="H505" s="165" t="s">
        <v>12</v>
      </c>
      <c r="I505" s="166"/>
      <c r="J505" s="166"/>
      <c r="K505" s="167"/>
      <c r="L505" s="45">
        <f t="shared" ref="L505:N505" si="256">L506+L507</f>
        <v>0</v>
      </c>
      <c r="M505" s="45">
        <f t="shared" si="256"/>
        <v>0</v>
      </c>
      <c r="N505" s="45">
        <f t="shared" si="256"/>
        <v>0</v>
      </c>
      <c r="O505" s="45">
        <f t="shared" si="252"/>
        <v>0</v>
      </c>
      <c r="P505" s="45">
        <f t="shared" si="253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0"/>
      <c r="C506" s="565"/>
      <c r="D506" s="566"/>
      <c r="E506" s="567" t="s">
        <v>184</v>
      </c>
      <c r="F506" s="565"/>
      <c r="G506" s="56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2"/>
        <v>0</v>
      </c>
      <c r="P506" s="45">
        <f t="shared" si="253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0"/>
      <c r="C507" s="565"/>
      <c r="D507" s="566"/>
      <c r="E507" s="567" t="s">
        <v>185</v>
      </c>
      <c r="F507" s="565"/>
      <c r="G507" s="56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2"/>
        <v>0</v>
      </c>
      <c r="P507" s="45">
        <f t="shared" si="253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0"/>
      <c r="C508" s="565"/>
      <c r="D508" s="565"/>
      <c r="E508" s="565"/>
      <c r="F508" s="567" t="s">
        <v>186</v>
      </c>
      <c r="G508" s="56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0"/>
      <c r="C509" s="565"/>
      <c r="D509" s="565"/>
      <c r="E509" s="565"/>
      <c r="F509" s="567" t="s">
        <v>187</v>
      </c>
      <c r="G509" s="56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0"/>
      <c r="C510" s="570"/>
      <c r="D510" s="570"/>
      <c r="E510" s="565"/>
      <c r="F510" s="567" t="s">
        <v>188</v>
      </c>
      <c r="G510" s="56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0"/>
      <c r="C511" s="570"/>
      <c r="D511" s="570"/>
      <c r="E511" s="565"/>
      <c r="F511" s="567" t="s">
        <v>189</v>
      </c>
      <c r="G511" s="56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0"/>
      <c r="C512" s="570"/>
      <c r="D512" s="615" t="s">
        <v>21</v>
      </c>
      <c r="E512" s="570"/>
      <c r="F512" s="565"/>
      <c r="G512" s="568"/>
      <c r="H512" s="169" t="s">
        <v>12</v>
      </c>
      <c r="I512" s="166"/>
      <c r="J512" s="166"/>
      <c r="K512" s="167"/>
      <c r="L512" s="45">
        <f t="shared" ref="L512:N512" si="257">L513+L514</f>
        <v>0</v>
      </c>
      <c r="M512" s="45">
        <f t="shared" si="257"/>
        <v>0</v>
      </c>
      <c r="N512" s="45">
        <f t="shared" si="257"/>
        <v>0</v>
      </c>
      <c r="O512" s="45">
        <f t="shared" ref="O512:O514" si="258">IF(L512&gt;0,N512*100/L512,0)</f>
        <v>0</v>
      </c>
      <c r="P512" s="45">
        <f t="shared" ref="P512:P514" si="259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0"/>
      <c r="C513" s="570"/>
      <c r="D513" s="570"/>
      <c r="E513" s="572" t="s">
        <v>18</v>
      </c>
      <c r="F513" s="565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8"/>
        <v>0</v>
      </c>
      <c r="P513" s="45">
        <f t="shared" si="259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0"/>
      <c r="C514" s="570"/>
      <c r="D514" s="565"/>
      <c r="E514" s="572" t="s">
        <v>19</v>
      </c>
      <c r="F514" s="565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8"/>
        <v>0</v>
      </c>
      <c r="P514" s="45">
        <f t="shared" si="259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0"/>
      <c r="C515" s="570" t="s">
        <v>16</v>
      </c>
      <c r="D515" s="617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0"/>
      <c r="C516" s="580"/>
      <c r="D516" s="581" t="s">
        <v>221</v>
      </c>
      <c r="E516" s="566"/>
      <c r="F516" s="566"/>
      <c r="G516" s="582"/>
      <c r="H516" s="620" t="s">
        <v>109</v>
      </c>
      <c r="I516" s="44"/>
      <c r="J516" s="584">
        <v>0</v>
      </c>
      <c r="K516" s="167">
        <f t="shared" ref="K516:K517" si="260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0"/>
      <c r="C517" s="580"/>
      <c r="D517" s="581" t="s">
        <v>222</v>
      </c>
      <c r="E517" s="566"/>
      <c r="F517" s="566"/>
      <c r="G517" s="582"/>
      <c r="H517" s="621" t="s">
        <v>35</v>
      </c>
      <c r="I517" s="622"/>
      <c r="J517" s="622">
        <f>J518+J519</f>
        <v>0</v>
      </c>
      <c r="K517" s="623">
        <f t="shared" si="260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0"/>
      <c r="C518" s="580"/>
      <c r="D518" s="580"/>
      <c r="E518" s="581" t="s">
        <v>223</v>
      </c>
      <c r="F518" s="566"/>
      <c r="G518" s="582"/>
      <c r="H518" s="583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0"/>
      <c r="C519" s="580"/>
      <c r="D519" s="580"/>
      <c r="E519" s="581" t="s">
        <v>224</v>
      </c>
      <c r="F519" s="566"/>
      <c r="G519" s="582"/>
      <c r="H519" s="620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43">
        <f t="shared" ref="I522:J522" ca="1" si="261">I537</f>
        <v>80</v>
      </c>
      <c r="J522" s="643">
        <f t="shared" ca="1" si="261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>
      <c r="A523" s="562"/>
      <c r="B523" s="540"/>
      <c r="C523" s="540" t="s">
        <v>16</v>
      </c>
      <c r="D523" s="929" t="s">
        <v>17</v>
      </c>
      <c r="E523" s="923"/>
      <c r="F523" s="923"/>
      <c r="G523" s="189"/>
      <c r="H523" s="563" t="s">
        <v>12</v>
      </c>
      <c r="I523" s="37"/>
      <c r="J523" s="37"/>
      <c r="K523" s="38"/>
      <c r="L523" s="195">
        <f t="shared" ref="L523:N523" ca="1" si="262">L524+L525</f>
        <v>652760</v>
      </c>
      <c r="M523" s="195">
        <f t="shared" si="262"/>
        <v>0</v>
      </c>
      <c r="N523" s="195">
        <f t="shared" ca="1" si="262"/>
        <v>148970</v>
      </c>
      <c r="O523" s="195">
        <f t="shared" ref="O523:O528" ca="1" si="263">IF(L523&gt;0,N523*100/L523,0)</f>
        <v>22.82155769348612</v>
      </c>
      <c r="P523" s="195">
        <f t="shared" ref="P523:P528" si="264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565"/>
      <c r="C524" s="565"/>
      <c r="D524" s="566"/>
      <c r="E524" s="567" t="s">
        <v>184</v>
      </c>
      <c r="F524" s="565"/>
      <c r="G524" s="568"/>
      <c r="H524" s="165" t="s">
        <v>12</v>
      </c>
      <c r="I524" s="44"/>
      <c r="J524" s="44"/>
      <c r="K524" s="45"/>
      <c r="L524" s="45">
        <f t="shared" ref="L524:N524" si="265">L527+L534</f>
        <v>0</v>
      </c>
      <c r="M524" s="45">
        <f t="shared" si="265"/>
        <v>0</v>
      </c>
      <c r="N524" s="45">
        <f t="shared" si="265"/>
        <v>0</v>
      </c>
      <c r="O524" s="45">
        <f t="shared" si="263"/>
        <v>0</v>
      </c>
      <c r="P524" s="45">
        <f t="shared" si="264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0"/>
      <c r="C525" s="565"/>
      <c r="D525" s="566"/>
      <c r="E525" s="567" t="s">
        <v>185</v>
      </c>
      <c r="F525" s="565"/>
      <c r="G525" s="568"/>
      <c r="H525" s="165" t="s">
        <v>12</v>
      </c>
      <c r="I525" s="44"/>
      <c r="J525" s="44"/>
      <c r="K525" s="45"/>
      <c r="L525" s="45">
        <f t="shared" ref="L525:N525" ca="1" si="266">L528+L535</f>
        <v>652760</v>
      </c>
      <c r="M525" s="45">
        <f t="shared" si="266"/>
        <v>0</v>
      </c>
      <c r="N525" s="45">
        <f t="shared" ca="1" si="266"/>
        <v>148970</v>
      </c>
      <c r="O525" s="45">
        <f t="shared" ca="1" si="263"/>
        <v>22.82155769348612</v>
      </c>
      <c r="P525" s="45">
        <f t="shared" si="264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>
      <c r="A526" s="562"/>
      <c r="B526" s="539"/>
      <c r="C526" s="540"/>
      <c r="D526" s="571" t="s">
        <v>20</v>
      </c>
      <c r="E526" s="540"/>
      <c r="F526" s="540"/>
      <c r="G526" s="189"/>
      <c r="H526" s="161" t="s">
        <v>12</v>
      </c>
      <c r="I526" s="162"/>
      <c r="J526" s="162"/>
      <c r="K526" s="163"/>
      <c r="L526" s="38">
        <f t="shared" ref="L526:N526" ca="1" si="267">L527+L528</f>
        <v>652760</v>
      </c>
      <c r="M526" s="38">
        <f t="shared" si="267"/>
        <v>0</v>
      </c>
      <c r="N526" s="38">
        <f t="shared" ca="1" si="267"/>
        <v>148970</v>
      </c>
      <c r="O526" s="38">
        <f t="shared" ca="1" si="263"/>
        <v>22.82155769348612</v>
      </c>
      <c r="P526" s="38">
        <f t="shared" si="264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0"/>
      <c r="C527" s="565"/>
      <c r="D527" s="566"/>
      <c r="E527" s="567" t="s">
        <v>184</v>
      </c>
      <c r="F527" s="565"/>
      <c r="G527" s="56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3"/>
        <v>0</v>
      </c>
      <c r="P527" s="45">
        <f t="shared" si="264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0"/>
      <c r="C528" s="565"/>
      <c r="D528" s="566"/>
      <c r="E528" s="567" t="s">
        <v>185</v>
      </c>
      <c r="F528" s="565"/>
      <c r="G528" s="568"/>
      <c r="H528" s="165" t="s">
        <v>12</v>
      </c>
      <c r="I528" s="44"/>
      <c r="J528" s="44"/>
      <c r="K528" s="45"/>
      <c r="L528" s="45">
        <f ca="1">IFERROR(__xludf.DUMMYFUNCTION("IMPORTRANGE(""https://docs.google.com/spreadsheets/d/1KxicF4apzSqm0-jIpmueT4kyZtE-Cwn5zskl7GD4loQ/edit?usp=share_link"",""กำแพงเพชร!l528"")+IMPORTRANGE(""https://docs.google.com/spreadsheets/d/1ZNYWeiFoFA1K1U4xKWqRX29MBvEyRHXORjo734Gnq_c/edit?usp=share_li"&amp;"nk"",""เชียงราย!l528"")
+IMPORTRANGE(""https://docs.google.com/spreadsheets/d/1Jgv0Y7YlHDtsiDawwp-uvifEJ8HVaSn0k2aGHG8-hwM/edit?usp=share_link"",""เชียงใหม่!l528"")+IMPORTRANGE(""https://docs.google.com/spreadsheets/d/1JWG2rZePOz9pe-f-ObA-yDr0VoOX2kSb0qIi"&amp;"x2mTUo8/edit?usp=share_link"",""ตาก!l528"")+IMPORTRANGE(""https://docs.google.com/spreadsheets/d/10nSRjK08hx8Y6HgSOQKNw81lyY46Zc7U_Cj72hBMp9U/edit?usp=share_link"",""นครสวรรค์!l528"")+IMPORTRANGE(""https://docs.google.com/spreadsheets/d/1gFVb7qd7amutrIxAA"&amp;"oM7lcy35hllxznovot8lyOfvDo/edit?usp=share_link"",""น่าน!l528"")+IMPORTRANGE(""https://docs.google.com/spreadsheets/d/1K0Aa9s-6EuHE5M0FG1F9aHLXRCOV917xvycTdLdct0w/edit?usp=share_link"",""พะเยา!l528"")+IMPORTRANGE(""https://docs.google.com/spreadsheets/d/1Y"&amp;"9LPKx95PyL5OKy09d-KbKJSuuEZCFdkhYjwC0XQjBA/edit?usp=share_link"",""พิจิตร!l528"")+IMPORTRANGE(""https://docs.google.com/spreadsheets/d/16OMuOwy2eVqZcYWOouQtTpa8X1L23h4660uVHc0C8os/edit?usp=share_link"",""พิษณุโลก!l528"")+IMPORTRANGE(""https://docs.google."&amp;"com/spreadsheets/d/1GfgTldLG6k77HXaMQzaafODklYuucJZQNs_GAPEfZyY/edit?usp=share_link"",""เพชรบูรณ์!l528"")+IMPORTRANGE(""https://docs.google.com/spreadsheets/d/1gvTMYAnm7v1yG1BKWFtr0DnaTsq59oW9dwWvFgq6hs0/edit?usp=share_link"",""แพร่!l528"")+IMPORTRANGE("""&amp;"https://docs.google.com/spreadsheets/d/1Wbcosgy-Xa1xXUArJSOenub6EfZHUSzc_bpJFWwQUf0/edit?usp=share_link"",""แม่ฮ่องสอน!l528"")+IMPORTRANGE(""https://docs.google.com/spreadsheets/d/1p7ERhsr0qZeSn-KSOdeHS9r0heI-lHtkcn2OH7hP0jQ/edit?usp=share_link"",""ลำปาง!"&amp;"l528"")+IMPORTRANGE(""https://docs.google.com/spreadsheets/d/1-uUXvimVhiU2U0bMN-xi2te0tS4X7DI2GLPnMjzl8cA/edit?usp=share_link"",""ลำพูน!l528"")+IMPORTRANGE(""https://docs.google.com/spreadsheets/d/17HrOaa5pBUI1onckFfumXB8xlg35qb2uBAFfF1D-Myo/edit?usp=shar"&amp;"e_link"",""สุโขทัย!l528"")+IMPORTRANGE(""https://docs.google.com/spreadsheets/d/1ubs5cl16eYL9gHbdHTJtmtYb9MGzHBs7CAphn8kNCgM/edit?usp=share_link"",""อุตรดิตถ์!l528"")+IMPORTRANGE(""https://docs.google.com/spreadsheets/d/1kII0BjS6CtVrBvI8IrytgPdxDrlyQDyigz"&amp;"MsohRtDMs/edit?usp=share_link"",""อุทัยธานี!l528"")
"),652760)</f>
        <v>652760</v>
      </c>
      <c r="M528" s="93">
        <v>0</v>
      </c>
      <c r="N528" s="45">
        <f ca="1">N529+N530+N531+N532</f>
        <v>148970</v>
      </c>
      <c r="O528" s="45">
        <f t="shared" ca="1" si="263"/>
        <v>22.82155769348612</v>
      </c>
      <c r="P528" s="45">
        <f t="shared" si="264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>
      <c r="A529" s="538"/>
      <c r="B529" s="539"/>
      <c r="C529" s="540"/>
      <c r="D529" s="540"/>
      <c r="E529" s="540"/>
      <c r="F529" s="541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xicF4apzSqm0-jIpmueT4kyZtE-Cwn5zskl7GD4loQ/edit?usp=share_link"",""กำแพงเพชร!n529"")+IMPORTRANGE(""https://docs.google.com/spreadsheets/d/1ZNYWeiFoFA1K1U4xKWqRX29MBvEyRHXORjo734Gnq_c/edit?usp=share_li"&amp;"nk"",""เชียงราย!n529"")
+IMPORTRANGE(""https://docs.google.com/spreadsheets/d/1Jgv0Y7YlHDtsiDawwp-uvifEJ8HVaSn0k2aGHG8-hwM/edit?usp=share_link"",""เชียงใหม่!n529"")+IMPORTRANGE(""https://docs.google.com/spreadsheets/d/1JWG2rZePOz9pe-f-ObA-yDr0VoOX2kSb0qIi"&amp;"x2mTUo8/edit?usp=share_link"",""ตาก!n529"")+IMPORTRANGE(""https://docs.google.com/spreadsheets/d/10nSRjK08hx8Y6HgSOQKNw81lyY46Zc7U_Cj72hBMp9U/edit?usp=share_link"",""นครสวรรค์!n529"")+IMPORTRANGE(""https://docs.google.com/spreadsheets/d/1gFVb7qd7amutrIxAA"&amp;"oM7lcy35hllxznovot8lyOfvDo/edit?usp=share_link"",""น่าน!n529"")+IMPORTRANGE(""https://docs.google.com/spreadsheets/d/1K0Aa9s-6EuHE5M0FG1F9aHLXRCOV917xvycTdLdct0w/edit?usp=share_link"",""พะเยา!n529"")+IMPORTRANGE(""https://docs.google.com/spreadsheets/d/1Y"&amp;"9LPKx95PyL5OKy09d-KbKJSuuEZCFdkhYjwC0XQjBA/edit?usp=share_link"",""พิจิตร!n529"")+IMPORTRANGE(""https://docs.google.com/spreadsheets/d/16OMuOwy2eVqZcYWOouQtTpa8X1L23h4660uVHc0C8os/edit?usp=share_link"",""พิษณุโลก!n529"")+IMPORTRANGE(""https://docs.google."&amp;"com/spreadsheets/d/1GfgTldLG6k77HXaMQzaafODklYuucJZQNs_GAPEfZyY/edit?usp=share_link"",""เพชรบูรณ์!n529"")+IMPORTRANGE(""https://docs.google.com/spreadsheets/d/1gvTMYAnm7v1yG1BKWFtr0DnaTsq59oW9dwWvFgq6hs0/edit?usp=share_link"",""แพร่!n529"")+IMPORTRANGE("""&amp;"https://docs.google.com/spreadsheets/d/1Wbcosgy-Xa1xXUArJSOenub6EfZHUSzc_bpJFWwQUf0/edit?usp=share_link"",""แม่ฮ่องสอน!n529"")+IMPORTRANGE(""https://docs.google.com/spreadsheets/d/1p7ERhsr0qZeSn-KSOdeHS9r0heI-lHtkcn2OH7hP0jQ/edit?usp=share_link"",""ลำปาง!"&amp;"n529"")+IMPORTRANGE(""https://docs.google.com/spreadsheets/d/1-uUXvimVhiU2U0bMN-xi2te0tS4X7DI2GLPnMjzl8cA/edit?usp=share_link"",""ลำพูน!n529"")+IMPORTRANGE(""https://docs.google.com/spreadsheets/d/17HrOaa5pBUI1onckFfumXB8xlg35qb2uBAFfF1D-Myo/edit?usp=shar"&amp;"e_link"",""สุโขทัย!n529"")+IMPORTRANGE(""https://docs.google.com/spreadsheets/d/1ubs5cl16eYL9gHbdHTJtmtYb9MGzHBs7CAphn8kNCgM/edit?usp=share_link"",""อุตรดิตถ์!n529"")+IMPORTRANGE(""https://docs.google.com/spreadsheets/d/1kII0BjS6CtVrBvI8IrytgPdxDrlyQDyigz"&amp;"MsohRtDMs/edit?usp=share_link"",""อุทัยธานี!n529"")
"),141470)</f>
        <v>141470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>
      <c r="A530" s="538"/>
      <c r="B530" s="539"/>
      <c r="C530" s="540"/>
      <c r="D530" s="540"/>
      <c r="E530" s="540"/>
      <c r="F530" s="541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xicF4apzSqm0-jIpmueT4kyZtE-Cwn5zskl7GD4loQ/edit?usp=share_link"",""กำแพงเพชร!n530"")+IMPORTRANGE(""https://docs.google.com/spreadsheets/d/1ZNYWeiFoFA1K1U4xKWqRX29MBvEyRHXORjo734Gnq_c/edit?usp=share_li"&amp;"nk"",""เชียงราย!n530"")
+IMPORTRANGE(""https://docs.google.com/spreadsheets/d/1Jgv0Y7YlHDtsiDawwp-uvifEJ8HVaSn0k2aGHG8-hwM/edit?usp=share_link"",""เชียงใหม่!n530"")+IMPORTRANGE(""https://docs.google.com/spreadsheets/d/1JWG2rZePOz9pe-f-ObA-yDr0VoOX2kSb0qIi"&amp;"x2mTUo8/edit?usp=share_link"",""ตาก!n530"")+IMPORTRANGE(""https://docs.google.com/spreadsheets/d/10nSRjK08hx8Y6HgSOQKNw81lyY46Zc7U_Cj72hBMp9U/edit?usp=share_link"",""นครสวรรค์!n530"")+IMPORTRANGE(""https://docs.google.com/spreadsheets/d/1gFVb7qd7amutrIxAA"&amp;"oM7lcy35hllxznovot8lyOfvDo/edit?usp=share_link"",""น่าน!n530"")+IMPORTRANGE(""https://docs.google.com/spreadsheets/d/1K0Aa9s-6EuHE5M0FG1F9aHLXRCOV917xvycTdLdct0w/edit?usp=share_link"",""พะเยา!n530"")+IMPORTRANGE(""https://docs.google.com/spreadsheets/d/1Y"&amp;"9LPKx95PyL5OKy09d-KbKJSuuEZCFdkhYjwC0XQjBA/edit?usp=share_link"",""พิจิตร!n530"")+IMPORTRANGE(""https://docs.google.com/spreadsheets/d/16OMuOwy2eVqZcYWOouQtTpa8X1L23h4660uVHc0C8os/edit?usp=share_link"",""พิษณุโลก!n530"")+IMPORTRANGE(""https://docs.google."&amp;"com/spreadsheets/d/1GfgTldLG6k77HXaMQzaafODklYuucJZQNs_GAPEfZyY/edit?usp=share_link"",""เพชรบูรณ์!n530"")+IMPORTRANGE(""https://docs.google.com/spreadsheets/d/1gvTMYAnm7v1yG1BKWFtr0DnaTsq59oW9dwWvFgq6hs0/edit?usp=share_link"",""แพร่!n530"")+IMPORTRANGE("""&amp;"https://docs.google.com/spreadsheets/d/1Wbcosgy-Xa1xXUArJSOenub6EfZHUSzc_bpJFWwQUf0/edit?usp=share_link"",""แม่ฮ่องสอน!n530"")+IMPORTRANGE(""https://docs.google.com/spreadsheets/d/1p7ERhsr0qZeSn-KSOdeHS9r0heI-lHtkcn2OH7hP0jQ/edit?usp=share_link"",""ลำปาง!"&amp;"n530"")+IMPORTRANGE(""https://docs.google.com/spreadsheets/d/1-uUXvimVhiU2U0bMN-xi2te0tS4X7DI2GLPnMjzl8cA/edit?usp=share_link"",""ลำพูน!n530"")+IMPORTRANGE(""https://docs.google.com/spreadsheets/d/17HrOaa5pBUI1onckFfumXB8xlg35qb2uBAFfF1D-Myo/edit?usp=shar"&amp;"e_link"",""สุโขทัย!n530"")+IMPORTRANGE(""https://docs.google.com/spreadsheets/d/1ubs5cl16eYL9gHbdHTJtmtYb9MGzHBs7CAphn8kNCgM/edit?usp=share_link"",""อุตรดิตถ์!n530"")+IMPORTRANGE(""https://docs.google.com/spreadsheets/d/1kII0BjS6CtVrBvI8IrytgPdxDrlyQDyigz"&amp;"MsohRtDMs/edit?usp=share_link"",""อุทัยธานี!n530"")
"),0)</f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>
      <c r="A531" s="538"/>
      <c r="B531" s="539"/>
      <c r="C531" s="540"/>
      <c r="D531" s="540"/>
      <c r="E531" s="540"/>
      <c r="F531" s="541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xicF4apzSqm0-jIpmueT4kyZtE-Cwn5zskl7GD4loQ/edit?usp=share_link"",""กำแพงเพชร!n531"")+IMPORTRANGE(""https://docs.google.com/spreadsheets/d/1ZNYWeiFoFA1K1U4xKWqRX29MBvEyRHXORjo734Gnq_c/edit?usp=share_li"&amp;"nk"",""เชียงราย!n531"")
+IMPORTRANGE(""https://docs.google.com/spreadsheets/d/1Jgv0Y7YlHDtsiDawwp-uvifEJ8HVaSn0k2aGHG8-hwM/edit?usp=share_link"",""เชียงใหม่!n531"")+IMPORTRANGE(""https://docs.google.com/spreadsheets/d/1JWG2rZePOz9pe-f-ObA-yDr0VoOX2kSb0qIi"&amp;"x2mTUo8/edit?usp=share_link"",""ตาก!n531"")+IMPORTRANGE(""https://docs.google.com/spreadsheets/d/10nSRjK08hx8Y6HgSOQKNw81lyY46Zc7U_Cj72hBMp9U/edit?usp=share_link"",""นครสวรรค์!n531"")+IMPORTRANGE(""https://docs.google.com/spreadsheets/d/1gFVb7qd7amutrIxAA"&amp;"oM7lcy35hllxznovot8lyOfvDo/edit?usp=share_link"",""น่าน!n531"")+IMPORTRANGE(""https://docs.google.com/spreadsheets/d/1K0Aa9s-6EuHE5M0FG1F9aHLXRCOV917xvycTdLdct0w/edit?usp=share_link"",""พะเยา!n531"")+IMPORTRANGE(""https://docs.google.com/spreadsheets/d/1Y"&amp;"9LPKx95PyL5OKy09d-KbKJSuuEZCFdkhYjwC0XQjBA/edit?usp=share_link"",""พิจิตร!n531"")+IMPORTRANGE(""https://docs.google.com/spreadsheets/d/16OMuOwy2eVqZcYWOouQtTpa8X1L23h4660uVHc0C8os/edit?usp=share_link"",""พิษณุโลก!n531"")+IMPORTRANGE(""https://docs.google."&amp;"com/spreadsheets/d/1GfgTldLG6k77HXaMQzaafODklYuucJZQNs_GAPEfZyY/edit?usp=share_link"",""เพชรบูรณ์!n531"")+IMPORTRANGE(""https://docs.google.com/spreadsheets/d/1gvTMYAnm7v1yG1BKWFtr0DnaTsq59oW9dwWvFgq6hs0/edit?usp=share_link"",""แพร่!n531"")+IMPORTRANGE("""&amp;"https://docs.google.com/spreadsheets/d/1Wbcosgy-Xa1xXUArJSOenub6EfZHUSzc_bpJFWwQUf0/edit?usp=share_link"",""แม่ฮ่องสอน!n531"")+IMPORTRANGE(""https://docs.google.com/spreadsheets/d/1p7ERhsr0qZeSn-KSOdeHS9r0heI-lHtkcn2OH7hP0jQ/edit?usp=share_link"",""ลำปาง!"&amp;"n531"")+IMPORTRANGE(""https://docs.google.com/spreadsheets/d/1-uUXvimVhiU2U0bMN-xi2te0tS4X7DI2GLPnMjzl8cA/edit?usp=share_link"",""ลำพูน!n531"")+IMPORTRANGE(""https://docs.google.com/spreadsheets/d/17HrOaa5pBUI1onckFfumXB8xlg35qb2uBAFfF1D-Myo/edit?usp=shar"&amp;"e_link"",""สุโขทัย!n531"")+IMPORTRANGE(""https://docs.google.com/spreadsheets/d/1ubs5cl16eYL9gHbdHTJtmtYb9MGzHBs7CAphn8kNCgM/edit?usp=share_link"",""อุตรดิตถ์!n531"")+IMPORTRANGE(""https://docs.google.com/spreadsheets/d/1kII0BjS6CtVrBvI8IrytgPdxDrlyQDyigz"&amp;"MsohRtDMs/edit?usp=share_link"",""อุทัยธานี!n531"")
"),0)</f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>
      <c r="A532" s="538"/>
      <c r="B532" s="539"/>
      <c r="C532" s="540"/>
      <c r="D532" s="540"/>
      <c r="E532" s="540"/>
      <c r="F532" s="541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xicF4apzSqm0-jIpmueT4kyZtE-Cwn5zskl7GD4loQ/edit?usp=share_link"",""กำแพงเพชร!n532"")+IMPORTRANGE(""https://docs.google.com/spreadsheets/d/1ZNYWeiFoFA1K1U4xKWqRX29MBvEyRHXORjo734Gnq_c/edit?usp=share_li"&amp;"nk"",""เชียงราย!n532"")
+IMPORTRANGE(""https://docs.google.com/spreadsheets/d/1Jgv0Y7YlHDtsiDawwp-uvifEJ8HVaSn0k2aGHG8-hwM/edit?usp=share_link"",""เชียงใหม่!n532"")+IMPORTRANGE(""https://docs.google.com/spreadsheets/d/1JWG2rZePOz9pe-f-ObA-yDr0VoOX2kSb0qIi"&amp;"x2mTUo8/edit?usp=share_link"",""ตาก!n532"")+IMPORTRANGE(""https://docs.google.com/spreadsheets/d/10nSRjK08hx8Y6HgSOQKNw81lyY46Zc7U_Cj72hBMp9U/edit?usp=share_link"",""นครสวรรค์!n532"")+IMPORTRANGE(""https://docs.google.com/spreadsheets/d/1gFVb7qd7amutrIxAA"&amp;"oM7lcy35hllxznovot8lyOfvDo/edit?usp=share_link"",""น่าน!n532"")+IMPORTRANGE(""https://docs.google.com/spreadsheets/d/1K0Aa9s-6EuHE5M0FG1F9aHLXRCOV917xvycTdLdct0w/edit?usp=share_link"",""พะเยา!n532"")+IMPORTRANGE(""https://docs.google.com/spreadsheets/d/1Y"&amp;"9LPKx95PyL5OKy09d-KbKJSuuEZCFdkhYjwC0XQjBA/edit?usp=share_link"",""พิจิตร!n532"")+IMPORTRANGE(""https://docs.google.com/spreadsheets/d/16OMuOwy2eVqZcYWOouQtTpa8X1L23h4660uVHc0C8os/edit?usp=share_link"",""พิษณุโลก!n532"")+IMPORTRANGE(""https://docs.google."&amp;"com/spreadsheets/d/1GfgTldLG6k77HXaMQzaafODklYuucJZQNs_GAPEfZyY/edit?usp=share_link"",""เพชรบูรณ์!n532"")+IMPORTRANGE(""https://docs.google.com/spreadsheets/d/1gvTMYAnm7v1yG1BKWFtr0DnaTsq59oW9dwWvFgq6hs0/edit?usp=share_link"",""แพร่!n532"")+IMPORTRANGE("""&amp;"https://docs.google.com/spreadsheets/d/1Wbcosgy-Xa1xXUArJSOenub6EfZHUSzc_bpJFWwQUf0/edit?usp=share_link"",""แม่ฮ่องสอน!n532"")+IMPORTRANGE(""https://docs.google.com/spreadsheets/d/1p7ERhsr0qZeSn-KSOdeHS9r0heI-lHtkcn2OH7hP0jQ/edit?usp=share_link"",""ลำปาง!"&amp;"n532"")+IMPORTRANGE(""https://docs.google.com/spreadsheets/d/1-uUXvimVhiU2U0bMN-xi2te0tS4X7DI2GLPnMjzl8cA/edit?usp=share_link"",""ลำพูน!n532"")+IMPORTRANGE(""https://docs.google.com/spreadsheets/d/17HrOaa5pBUI1onckFfumXB8xlg35qb2uBAFfF1D-Myo/edit?usp=shar"&amp;"e_link"",""สุโขทัย!n532"")+IMPORTRANGE(""https://docs.google.com/spreadsheets/d/1ubs5cl16eYL9gHbdHTJtmtYb9MGzHBs7CAphn8kNCgM/edit?usp=share_link"",""อุตรดิตถ์!n532"")+IMPORTRANGE(""https://docs.google.com/spreadsheets/d/1kII0BjS6CtVrBvI8IrytgPdxDrlyQDyigz"&amp;"MsohRtDMs/edit?usp=share_link"",""อุทัยธานี!n532"")
"),7500)</f>
        <v>7500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>
      <c r="A533" s="562"/>
      <c r="B533" s="539"/>
      <c r="C533" s="540"/>
      <c r="D533" s="571" t="s">
        <v>21</v>
      </c>
      <c r="E533" s="540"/>
      <c r="F533" s="540"/>
      <c r="G533" s="189"/>
      <c r="H533" s="168" t="s">
        <v>12</v>
      </c>
      <c r="I533" s="162"/>
      <c r="J533" s="162"/>
      <c r="K533" s="163"/>
      <c r="L533" s="38">
        <f t="shared" ref="L533:N533" ca="1" si="268">L534+L535</f>
        <v>0</v>
      </c>
      <c r="M533" s="38">
        <f t="shared" si="268"/>
        <v>0</v>
      </c>
      <c r="N533" s="38">
        <f t="shared" si="268"/>
        <v>0</v>
      </c>
      <c r="O533" s="38">
        <f t="shared" ref="O533:O535" ca="1" si="269">IF(L533&gt;0,N533*100/L533,0)</f>
        <v>0</v>
      </c>
      <c r="P533" s="38">
        <f t="shared" ref="P533:P535" si="270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0"/>
      <c r="C534" s="565"/>
      <c r="D534" s="565"/>
      <c r="E534" s="567" t="s">
        <v>18</v>
      </c>
      <c r="F534" s="565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9"/>
        <v>0</v>
      </c>
      <c r="P534" s="45">
        <f t="shared" si="270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0"/>
      <c r="C535" s="565"/>
      <c r="D535" s="565"/>
      <c r="E535" s="567" t="s">
        <v>19</v>
      </c>
      <c r="F535" s="565"/>
      <c r="G535" s="56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xicF4apzSqm0-jIpmueT4kyZtE-Cwn5zskl7GD4loQ/edit?usp=share_link"",""กำแพงเพชร!l535"")+IMPORTRANGE(""https://docs.google.com/spreadsheets/d/1ZNYWeiFoFA1K1U4xKWqRX29MBvEyRHXORjo734Gnq_c/edit?usp=share_li"&amp;"nk"",""เชียงราย!l535"")
+IMPORTRANGE(""https://docs.google.com/spreadsheets/d/1Jgv0Y7YlHDtsiDawwp-uvifEJ8HVaSn0k2aGHG8-hwM/edit?usp=share_link"",""เชียงใหม่!l535"")+IMPORTRANGE(""https://docs.google.com/spreadsheets/d/1JWG2rZePOz9pe-f-ObA-yDr0VoOX2kSb0qIi"&amp;"x2mTUo8/edit?usp=share_link"",""ตาก!l535"")+IMPORTRANGE(""https://docs.google.com/spreadsheets/d/10nSRjK08hx8Y6HgSOQKNw81lyY46Zc7U_Cj72hBMp9U/edit?usp=share_link"",""นครสวรรค์!l535"")+IMPORTRANGE(""https://docs.google.com/spreadsheets/d/1gFVb7qd7amutrIxAA"&amp;"oM7lcy35hllxznovot8lyOfvDo/edit?usp=share_link"",""น่าน!l535"")+IMPORTRANGE(""https://docs.google.com/spreadsheets/d/1K0Aa9s-6EuHE5M0FG1F9aHLXRCOV917xvycTdLdct0w/edit?usp=share_link"",""พะเยา!l535"")+IMPORTRANGE(""https://docs.google.com/spreadsheets/d/1Y"&amp;"9LPKx95PyL5OKy09d-KbKJSuuEZCFdkhYjwC0XQjBA/edit?usp=share_link"",""พิจิตร!l535"")+IMPORTRANGE(""https://docs.google.com/spreadsheets/d/16OMuOwy2eVqZcYWOouQtTpa8X1L23h4660uVHc0C8os/edit?usp=share_link"",""พิษณุโลก!l535"")+IMPORTRANGE(""https://docs.google."&amp;"com/spreadsheets/d/1GfgTldLG6k77HXaMQzaafODklYuucJZQNs_GAPEfZyY/edit?usp=share_link"",""เพชรบูรณ์!l535"")+IMPORTRANGE(""https://docs.google.com/spreadsheets/d/1gvTMYAnm7v1yG1BKWFtr0DnaTsq59oW9dwWvFgq6hs0/edit?usp=share_link"",""แพร่!l535"")+IMPORTRANGE("""&amp;"https://docs.google.com/spreadsheets/d/1Wbcosgy-Xa1xXUArJSOenub6EfZHUSzc_bpJFWwQUf0/edit?usp=share_link"",""แม่ฮ่องสอน!l535"")+IMPORTRANGE(""https://docs.google.com/spreadsheets/d/1p7ERhsr0qZeSn-KSOdeHS9r0heI-lHtkcn2OH7hP0jQ/edit?usp=share_link"",""ลำปาง!"&amp;"l535"")+IMPORTRANGE(""https://docs.google.com/spreadsheets/d/1-uUXvimVhiU2U0bMN-xi2te0tS4X7DI2GLPnMjzl8cA/edit?usp=share_link"",""ลำพูน!l535"")+IMPORTRANGE(""https://docs.google.com/spreadsheets/d/17HrOaa5pBUI1onckFfumXB8xlg35qb2uBAFfF1D-Myo/edit?usp=shar"&amp;"e_link"",""สุโขทัย!l535"")+IMPORTRANGE(""https://docs.google.com/spreadsheets/d/1ubs5cl16eYL9gHbdHTJtmtYb9MGzHBs7CAphn8kNCgM/edit?usp=share_link"",""อุตรดิตถ์!l535"")+IMPORTRANGE(""https://docs.google.com/spreadsheets/d/1kII0BjS6CtVrBvI8IrytgPdxDrlyQDyigz"&amp;"MsohRtDMs/edit?usp=share_link"",""อุทัยธานี!l535"")
"),0)</f>
        <v>0</v>
      </c>
      <c r="M535" s="93">
        <v>0</v>
      </c>
      <c r="N535" s="93">
        <v>0</v>
      </c>
      <c r="O535" s="45">
        <f t="shared" ca="1" si="269"/>
        <v>0</v>
      </c>
      <c r="P535" s="45">
        <f t="shared" si="270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>
      <c r="A536" s="573"/>
      <c r="B536" s="574"/>
      <c r="C536" s="540" t="s">
        <v>16</v>
      </c>
      <c r="D536" s="646" t="s">
        <v>38</v>
      </c>
      <c r="E536" s="577"/>
      <c r="F536" s="577"/>
      <c r="G536" s="578"/>
      <c r="H536" s="175"/>
      <c r="I536" s="162"/>
      <c r="J536" s="162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>
      <c r="A537" s="538"/>
      <c r="B537" s="539"/>
      <c r="C537" s="540"/>
      <c r="D537" s="647" t="s">
        <v>227</v>
      </c>
      <c r="E537" s="540"/>
      <c r="F537" s="540"/>
      <c r="G537" s="189"/>
      <c r="H537" s="36" t="s">
        <v>35</v>
      </c>
      <c r="I537" s="648">
        <f ca="1">IFERROR(__xludf.DUMMYFUNCTION("IMPORTRANGE(""https://docs.google.com/spreadsheets/d/1KxicF4apzSqm0-jIpmueT4kyZtE-Cwn5zskl7GD4loQ/edit?usp=share_link"",""กำแพงเพชร!I537"")+IMPORTRANGE(""https://docs.google.com/spreadsheets/d/1ZNYWeiFoFA1K1U4xKWqRX29MBvEyRHXORjo734Gnq_c/edit?usp=share_li"&amp;"nk"",""เชียงราย!I537"")
+IMPORTRANGE(""https://docs.google.com/spreadsheets/d/1Jgv0Y7YlHDtsiDawwp-uvifEJ8HVaSn0k2aGHG8-hwM/edit?usp=share_link"",""เชียงใหม่!I537"")+IMPORTRANGE(""https://docs.google.com/spreadsheets/d/1JWG2rZePOz9pe-f-ObA-yDr0VoOX2kSb0qIi"&amp;"x2mTUo8/edit?usp=share_link"",""ตาก!I537"")+IMPORTRANGE(""https://docs.google.com/spreadsheets/d/10nSRjK08hx8Y6HgSOQKNw81lyY46Zc7U_Cj72hBMp9U/edit?usp=share_link"",""นครสวรรค์!I537"")+IMPORTRANGE(""https://docs.google.com/spreadsheets/d/1gFVb7qd7amutrIxAA"&amp;"oM7lcy35hllxznovot8lyOfvDo/edit?usp=share_link"",""น่าน!I537"")+IMPORTRANGE(""https://docs.google.com/spreadsheets/d/1K0Aa9s-6EuHE5M0FG1F9aHLXRCOV917xvycTdLdct0w/edit?usp=share_link"",""พะเยา!I537"")+IMPORTRANGE(""https://docs.google.com/spreadsheets/d/1Y"&amp;"9LPKx95PyL5OKy09d-KbKJSuuEZCFdkhYjwC0XQjBA/edit?usp=share_link"",""พิจิตร!I537"")+IMPORTRANGE(""https://docs.google.com/spreadsheets/d/16OMuOwy2eVqZcYWOouQtTpa8X1L23h4660uVHc0C8os/edit?usp=share_link"",""พิษณุโลก!I537"")+IMPORTRANGE(""https://docs.google."&amp;"com/spreadsheets/d/1GfgTldLG6k77HXaMQzaafODklYuucJZQNs_GAPEfZyY/edit?usp=share_link"",""เพชรบูรณ์!I537"")+IMPORTRANGE(""https://docs.google.com/spreadsheets/d/1gvTMYAnm7v1yG1BKWFtr0DnaTsq59oW9dwWvFgq6hs0/edit?usp=share_link"",""แพร่!I537"")+IMPORTRANGE("""&amp;"https://docs.google.com/spreadsheets/d/1Wbcosgy-Xa1xXUArJSOenub6EfZHUSzc_bpJFWwQUf0/edit?usp=share_link"",""แม่ฮ่องสอน!I537"")+IMPORTRANGE(""https://docs.google.com/spreadsheets/d/1p7ERhsr0qZeSn-KSOdeHS9r0heI-lHtkcn2OH7hP0jQ/edit?usp=share_link"",""ลำปาง!"&amp;"I537"")+IMPORTRANGE(""https://docs.google.com/spreadsheets/d/1-uUXvimVhiU2U0bMN-xi2te0tS4X7DI2GLPnMjzl8cA/edit?usp=share_link"",""ลำพูน!I537"")+IMPORTRANGE(""https://docs.google.com/spreadsheets/d/17HrOaa5pBUI1onckFfumXB8xlg35qb2uBAFfF1D-Myo/edit?usp=shar"&amp;"e_link"",""สุโขทัย!I537"")+IMPORTRANGE(""https://docs.google.com/spreadsheets/d/1ubs5cl16eYL9gHbdHTJtmtYb9MGzHBs7CAphn8kNCgM/edit?usp=share_link"",""อุตรดิตถ์!I537"")+IMPORTRANGE(""https://docs.google.com/spreadsheets/d/1kII0BjS6CtVrBvI8IrytgPdxDrlyQDyigz"&amp;"MsohRtDMs/edit?usp=share_link"",""อุทัยธานี!I537"")
"),80)</f>
        <v>80</v>
      </c>
      <c r="J537" s="194">
        <f ca="1">IFERROR(__xludf.DUMMYFUNCTION("IMPORTRANGE(""https://docs.google.com/spreadsheets/d/1KxicF4apzSqm0-jIpmueT4kyZtE-Cwn5zskl7GD4loQ/edit?usp=share_link"",""กำแพงเพชร!J537"")+IMPORTRANGE(""https://docs.google.com/spreadsheets/d/1ZNYWeiFoFA1K1U4xKWqRX29MBvEyRHXORjo734Gnq_c/edit?usp=share_li"&amp;"nk"",""เชียงราย!J537"")
+IMPORTRANGE(""https://docs.google.com/spreadsheets/d/1Jgv0Y7YlHDtsiDawwp-uvifEJ8HVaSn0k2aGHG8-hwM/edit?usp=share_link"",""เชียงใหม่!J537"")+IMPORTRANGE(""https://docs.google.com/spreadsheets/d/1JWG2rZePOz9pe-f-ObA-yDr0VoOX2kSb0qIi"&amp;"x2mTUo8/edit?usp=share_link"",""ตาก!J537"")+IMPORTRANGE(""https://docs.google.com/spreadsheets/d/10nSRjK08hx8Y6HgSOQKNw81lyY46Zc7U_Cj72hBMp9U/edit?usp=share_link"",""นครสวรรค์!J537"")+IMPORTRANGE(""https://docs.google.com/spreadsheets/d/1gFVb7qd7amutrIxAA"&amp;"oM7lcy35hllxznovot8lyOfvDo/edit?usp=share_link"",""น่าน!J537"")+IMPORTRANGE(""https://docs.google.com/spreadsheets/d/1K0Aa9s-6EuHE5M0FG1F9aHLXRCOV917xvycTdLdct0w/edit?usp=share_link"",""พะเยา!J537"")+IMPORTRANGE(""https://docs.google.com/spreadsheets/d/1Y"&amp;"9LPKx95PyL5OKy09d-KbKJSuuEZCFdkhYjwC0XQjBA/edit?usp=share_link"",""พิจิตร!J537"")+IMPORTRANGE(""https://docs.google.com/spreadsheets/d/16OMuOwy2eVqZcYWOouQtTpa8X1L23h4660uVHc0C8os/edit?usp=share_link"",""พิษณุโลก!J537"")+IMPORTRANGE(""https://docs.google."&amp;"com/spreadsheets/d/1GfgTldLG6k77HXaMQzaafODklYuucJZQNs_GAPEfZyY/edit?usp=share_link"",""เพชรบูรณ์!J537"")+IMPORTRANGE(""https://docs.google.com/spreadsheets/d/1gvTMYAnm7v1yG1BKWFtr0DnaTsq59oW9dwWvFgq6hs0/edit?usp=share_link"",""แพร่!J537"")+IMPORTRANGE("""&amp;"https://docs.google.com/spreadsheets/d/1Wbcosgy-Xa1xXUArJSOenub6EfZHUSzc_bpJFWwQUf0/edit?usp=share_link"",""แม่ฮ่องสอน!J537"")+IMPORTRANGE(""https://docs.google.com/spreadsheets/d/1p7ERhsr0qZeSn-KSOdeHS9r0heI-lHtkcn2OH7hP0jQ/edit?usp=share_link"",""ลำปาง!"&amp;"J537"")+IMPORTRANGE(""https://docs.google.com/spreadsheets/d/1-uUXvimVhiU2U0bMN-xi2te0tS4X7DI2GLPnMjzl8cA/edit?usp=share_link"",""ลำพูน!J537"")+IMPORTRANGE(""https://docs.google.com/spreadsheets/d/17HrOaa5pBUI1onckFfumXB8xlg35qb2uBAFfF1D-Myo/edit?usp=shar"&amp;"e_link"",""สุโขทัย!J537"")+IMPORTRANGE(""https://docs.google.com/spreadsheets/d/1ubs5cl16eYL9gHbdHTJtmtYb9MGzHBs7CAphn8kNCgM/edit?usp=share_link"",""อุตรดิตถ์!J537"")+IMPORTRANGE(""https://docs.google.com/spreadsheets/d/1kII0BjS6CtVrBvI8IrytgPdxDrlyQDyigz"&amp;"MsohRtDMs/edit?usp=share_link"",""อุทัยธานี!J537"")
"),0)</f>
        <v>0</v>
      </c>
      <c r="K537" s="38">
        <f t="shared" ref="K537:K543" ca="1" si="271">IF(I537&gt;0,J537*100/I537,0)</f>
        <v>0</v>
      </c>
      <c r="L537" s="38"/>
      <c r="M537" s="38"/>
      <c r="N537" s="38"/>
      <c r="O537" s="38"/>
      <c r="P537" s="38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>
      <c r="A538" s="538"/>
      <c r="B538" s="539"/>
      <c r="C538" s="540"/>
      <c r="D538" s="541"/>
      <c r="E538" s="650" t="s">
        <v>228</v>
      </c>
      <c r="F538" s="540"/>
      <c r="G538" s="189"/>
      <c r="H538" s="36" t="s">
        <v>35</v>
      </c>
      <c r="I538" s="270">
        <f ca="1">IFERROR(__xludf.DUMMYFUNCTION("IMPORTRANGE(""https://docs.google.com/spreadsheets/d/1KxicF4apzSqm0-jIpmueT4kyZtE-Cwn5zskl7GD4loQ/edit?usp=share_link"",""กำแพงเพชร!I538"")+IMPORTRANGE(""https://docs.google.com/spreadsheets/d/1ZNYWeiFoFA1K1U4xKWqRX29MBvEyRHXORjo734Gnq_c/edit?usp=share_li"&amp;"nk"",""เชียงราย!I538"")
+IMPORTRANGE(""https://docs.google.com/spreadsheets/d/1Jgv0Y7YlHDtsiDawwp-uvifEJ8HVaSn0k2aGHG8-hwM/edit?usp=share_link"",""เชียงใหม่!I538"")+IMPORTRANGE(""https://docs.google.com/spreadsheets/d/1JWG2rZePOz9pe-f-ObA-yDr0VoOX2kSb0qIi"&amp;"x2mTUo8/edit?usp=share_link"",""ตาก!I538"")+IMPORTRANGE(""https://docs.google.com/spreadsheets/d/10nSRjK08hx8Y6HgSOQKNw81lyY46Zc7U_Cj72hBMp9U/edit?usp=share_link"",""นครสวรรค์!I538"")+IMPORTRANGE(""https://docs.google.com/spreadsheets/d/1gFVb7qd7amutrIxAA"&amp;"oM7lcy35hllxznovot8lyOfvDo/edit?usp=share_link"",""น่าน!I538"")+IMPORTRANGE(""https://docs.google.com/spreadsheets/d/1K0Aa9s-6EuHE5M0FG1F9aHLXRCOV917xvycTdLdct0w/edit?usp=share_link"",""พะเยา!I538"")+IMPORTRANGE(""https://docs.google.com/spreadsheets/d/1Y"&amp;"9LPKx95PyL5OKy09d-KbKJSuuEZCFdkhYjwC0XQjBA/edit?usp=share_link"",""พิจิตร!I538"")+IMPORTRANGE(""https://docs.google.com/spreadsheets/d/16OMuOwy2eVqZcYWOouQtTpa8X1L23h4660uVHc0C8os/edit?usp=share_link"",""พิษณุโลก!I538"")+IMPORTRANGE(""https://docs.google."&amp;"com/spreadsheets/d/1GfgTldLG6k77HXaMQzaafODklYuucJZQNs_GAPEfZyY/edit?usp=share_link"",""เพชรบูรณ์!I538"")+IMPORTRANGE(""https://docs.google.com/spreadsheets/d/1gvTMYAnm7v1yG1BKWFtr0DnaTsq59oW9dwWvFgq6hs0/edit?usp=share_link"",""แพร่!I538"")+IMPORTRANGE("""&amp;"https://docs.google.com/spreadsheets/d/1Wbcosgy-Xa1xXUArJSOenub6EfZHUSzc_bpJFWwQUf0/edit?usp=share_link"",""แม่ฮ่องสอน!I538"")+IMPORTRANGE(""https://docs.google.com/spreadsheets/d/1p7ERhsr0qZeSn-KSOdeHS9r0heI-lHtkcn2OH7hP0jQ/edit?usp=share_link"",""ลำปาง!"&amp;"I538"")+IMPORTRANGE(""https://docs.google.com/spreadsheets/d/1-uUXvimVhiU2U0bMN-xi2te0tS4X7DI2GLPnMjzl8cA/edit?usp=share_link"",""ลำพูน!I538"")+IMPORTRANGE(""https://docs.google.com/spreadsheets/d/17HrOaa5pBUI1onckFfumXB8xlg35qb2uBAFfF1D-Myo/edit?usp=shar"&amp;"e_link"",""สุโขทัย!I538"")+IMPORTRANGE(""https://docs.google.com/spreadsheets/d/1ubs5cl16eYL9gHbdHTJtmtYb9MGzHBs7CAphn8kNCgM/edit?usp=share_link"",""อุตรดิตถ์!I538"")+IMPORTRANGE(""https://docs.google.com/spreadsheets/d/1kII0BjS6CtVrBvI8IrytgPdxDrlyQDyigz"&amp;"MsohRtDMs/edit?usp=share_link"",""อุทัยธานี!I538"")
"),80)</f>
        <v>80</v>
      </c>
      <c r="J538" s="183">
        <f ca="1">IFERROR(__xludf.DUMMYFUNCTION("IMPORTRANGE(""https://docs.google.com/spreadsheets/d/1KxicF4apzSqm0-jIpmueT4kyZtE-Cwn5zskl7GD4loQ/edit?usp=share_link"",""กำแพงเพชร!J538"")+IMPORTRANGE(""https://docs.google.com/spreadsheets/d/1ZNYWeiFoFA1K1U4xKWqRX29MBvEyRHXORjo734Gnq_c/edit?usp=share_li"&amp;"nk"",""เชียงราย!J538"")
+IMPORTRANGE(""https://docs.google.com/spreadsheets/d/1Jgv0Y7YlHDtsiDawwp-uvifEJ8HVaSn0k2aGHG8-hwM/edit?usp=share_link"",""เชียงใหม่!J538"")+IMPORTRANGE(""https://docs.google.com/spreadsheets/d/1JWG2rZePOz9pe-f-ObA-yDr0VoOX2kSb0qIi"&amp;"x2mTUo8/edit?usp=share_link"",""ตาก!J538"")+IMPORTRANGE(""https://docs.google.com/spreadsheets/d/10nSRjK08hx8Y6HgSOQKNw81lyY46Zc7U_Cj72hBMp9U/edit?usp=share_link"",""นครสวรรค์!J538"")+IMPORTRANGE(""https://docs.google.com/spreadsheets/d/1gFVb7qd7amutrIxAA"&amp;"oM7lcy35hllxznovot8lyOfvDo/edit?usp=share_link"",""น่าน!J538"")+IMPORTRANGE(""https://docs.google.com/spreadsheets/d/1K0Aa9s-6EuHE5M0FG1F9aHLXRCOV917xvycTdLdct0w/edit?usp=share_link"",""พะเยา!J538"")+IMPORTRANGE(""https://docs.google.com/spreadsheets/d/1Y"&amp;"9LPKx95PyL5OKy09d-KbKJSuuEZCFdkhYjwC0XQjBA/edit?usp=share_link"",""พิจิตร!J538"")+IMPORTRANGE(""https://docs.google.com/spreadsheets/d/16OMuOwy2eVqZcYWOouQtTpa8X1L23h4660uVHc0C8os/edit?usp=share_link"",""พิษณุโลก!J538"")+IMPORTRANGE(""https://docs.google."&amp;"com/spreadsheets/d/1GfgTldLG6k77HXaMQzaafODklYuucJZQNs_GAPEfZyY/edit?usp=share_link"",""เพชรบูรณ์!J538"")+IMPORTRANGE(""https://docs.google.com/spreadsheets/d/1gvTMYAnm7v1yG1BKWFtr0DnaTsq59oW9dwWvFgq6hs0/edit?usp=share_link"",""แพร่!J538"")+IMPORTRANGE("""&amp;"https://docs.google.com/spreadsheets/d/1Wbcosgy-Xa1xXUArJSOenub6EfZHUSzc_bpJFWwQUf0/edit?usp=share_link"",""แม่ฮ่องสอน!J538"")+IMPORTRANGE(""https://docs.google.com/spreadsheets/d/1p7ERhsr0qZeSn-KSOdeHS9r0heI-lHtkcn2OH7hP0jQ/edit?usp=share_link"",""ลำปาง!"&amp;"J538"")+IMPORTRANGE(""https://docs.google.com/spreadsheets/d/1-uUXvimVhiU2U0bMN-xi2te0tS4X7DI2GLPnMjzl8cA/edit?usp=share_link"",""ลำพูน!J538"")+IMPORTRANGE(""https://docs.google.com/spreadsheets/d/17HrOaa5pBUI1onckFfumXB8xlg35qb2uBAFfF1D-Myo/edit?usp=shar"&amp;"e_link"",""สุโขทัย!J538"")+IMPORTRANGE(""https://docs.google.com/spreadsheets/d/1ubs5cl16eYL9gHbdHTJtmtYb9MGzHBs7CAphn8kNCgM/edit?usp=share_link"",""อุตรดิตถ์!J538"")+IMPORTRANGE(""https://docs.google.com/spreadsheets/d/1kII0BjS6CtVrBvI8IrytgPdxDrlyQDyigz"&amp;"MsohRtDMs/edit?usp=share_link"",""อุทัยธานี!J538"")
"),40)</f>
        <v>40</v>
      </c>
      <c r="K538" s="38">
        <f t="shared" ca="1" si="271"/>
        <v>50</v>
      </c>
      <c r="L538" s="38"/>
      <c r="M538" s="38"/>
      <c r="N538" s="38"/>
      <c r="O538" s="38"/>
      <c r="P538" s="38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>
      <c r="A539" s="538"/>
      <c r="B539" s="539"/>
      <c r="C539" s="540"/>
      <c r="D539" s="541"/>
      <c r="E539" s="650" t="s">
        <v>229</v>
      </c>
      <c r="F539" s="540"/>
      <c r="G539" s="189"/>
      <c r="H539" s="36" t="s">
        <v>35</v>
      </c>
      <c r="I539" s="270">
        <f ca="1">IFERROR(__xludf.DUMMYFUNCTION("IMPORTRANGE(""https://docs.google.com/spreadsheets/d/1KxicF4apzSqm0-jIpmueT4kyZtE-Cwn5zskl7GD4loQ/edit?usp=share_link"",""กำแพงเพชร!I539"")+IMPORTRANGE(""https://docs.google.com/spreadsheets/d/1ZNYWeiFoFA1K1U4xKWqRX29MBvEyRHXORjo734Gnq_c/edit?usp=share_li"&amp;"nk"",""เชียงราย!I539"")
+IMPORTRANGE(""https://docs.google.com/spreadsheets/d/1Jgv0Y7YlHDtsiDawwp-uvifEJ8HVaSn0k2aGHG8-hwM/edit?usp=share_link"",""เชียงใหม่!I539"")+IMPORTRANGE(""https://docs.google.com/spreadsheets/d/1JWG2rZePOz9pe-f-ObA-yDr0VoOX2kSb0qIi"&amp;"x2mTUo8/edit?usp=share_link"",""ตาก!I539"")+IMPORTRANGE(""https://docs.google.com/spreadsheets/d/10nSRjK08hx8Y6HgSOQKNw81lyY46Zc7U_Cj72hBMp9U/edit?usp=share_link"",""นครสวรรค์!I539"")+IMPORTRANGE(""https://docs.google.com/spreadsheets/d/1gFVb7qd7amutrIxAA"&amp;"oM7lcy35hllxznovot8lyOfvDo/edit?usp=share_link"",""น่าน!I539"")+IMPORTRANGE(""https://docs.google.com/spreadsheets/d/1K0Aa9s-6EuHE5M0FG1F9aHLXRCOV917xvycTdLdct0w/edit?usp=share_link"",""พะเยา!I539"")+IMPORTRANGE(""https://docs.google.com/spreadsheets/d/1Y"&amp;"9LPKx95PyL5OKy09d-KbKJSuuEZCFdkhYjwC0XQjBA/edit?usp=share_link"",""พิจิตร!I539"")+IMPORTRANGE(""https://docs.google.com/spreadsheets/d/16OMuOwy2eVqZcYWOouQtTpa8X1L23h4660uVHc0C8os/edit?usp=share_link"",""พิษณุโลก!I539"")+IMPORTRANGE(""https://docs.google."&amp;"com/spreadsheets/d/1GfgTldLG6k77HXaMQzaafODklYuucJZQNs_GAPEfZyY/edit?usp=share_link"",""เพชรบูรณ์!I539"")+IMPORTRANGE(""https://docs.google.com/spreadsheets/d/1gvTMYAnm7v1yG1BKWFtr0DnaTsq59oW9dwWvFgq6hs0/edit?usp=share_link"",""แพร่!I539"")+IMPORTRANGE("""&amp;"https://docs.google.com/spreadsheets/d/1Wbcosgy-Xa1xXUArJSOenub6EfZHUSzc_bpJFWwQUf0/edit?usp=share_link"",""แม่ฮ่องสอน!I539"")+IMPORTRANGE(""https://docs.google.com/spreadsheets/d/1p7ERhsr0qZeSn-KSOdeHS9r0heI-lHtkcn2OH7hP0jQ/edit?usp=share_link"",""ลำปาง!"&amp;"I539"")+IMPORTRANGE(""https://docs.google.com/spreadsheets/d/1-uUXvimVhiU2U0bMN-xi2te0tS4X7DI2GLPnMjzl8cA/edit?usp=share_link"",""ลำพูน!I539"")+IMPORTRANGE(""https://docs.google.com/spreadsheets/d/17HrOaa5pBUI1onckFfumXB8xlg35qb2uBAFfF1D-Myo/edit?usp=shar"&amp;"e_link"",""สุโขทัย!I539"")+IMPORTRANGE(""https://docs.google.com/spreadsheets/d/1ubs5cl16eYL9gHbdHTJtmtYb9MGzHBs7CAphn8kNCgM/edit?usp=share_link"",""อุตรดิตถ์!I539"")+IMPORTRANGE(""https://docs.google.com/spreadsheets/d/1kII0BjS6CtVrBvI8IrytgPdxDrlyQDyigz"&amp;"MsohRtDMs/edit?usp=share_link"",""อุทัยธานี!I539"")
"),0)</f>
        <v>0</v>
      </c>
      <c r="J539" s="183">
        <f ca="1">IFERROR(__xludf.DUMMYFUNCTION("IMPORTRANGE(""https://docs.google.com/spreadsheets/d/1KxicF4apzSqm0-jIpmueT4kyZtE-Cwn5zskl7GD4loQ/edit?usp=share_link"",""กำแพงเพชร!J539"")+IMPORTRANGE(""https://docs.google.com/spreadsheets/d/1ZNYWeiFoFA1K1U4xKWqRX29MBvEyRHXORjo734Gnq_c/edit?usp=share_li"&amp;"nk"",""เชียงราย!J539"")
+IMPORTRANGE(""https://docs.google.com/spreadsheets/d/1Jgv0Y7YlHDtsiDawwp-uvifEJ8HVaSn0k2aGHG8-hwM/edit?usp=share_link"",""เชียงใหม่!J539"")+IMPORTRANGE(""https://docs.google.com/spreadsheets/d/1JWG2rZePOz9pe-f-ObA-yDr0VoOX2kSb0qIi"&amp;"x2mTUo8/edit?usp=share_link"",""ตาก!J539"")+IMPORTRANGE(""https://docs.google.com/spreadsheets/d/10nSRjK08hx8Y6HgSOQKNw81lyY46Zc7U_Cj72hBMp9U/edit?usp=share_link"",""นครสวรรค์!J539"")+IMPORTRANGE(""https://docs.google.com/spreadsheets/d/1gFVb7qd7amutrIxAA"&amp;"oM7lcy35hllxznovot8lyOfvDo/edit?usp=share_link"",""น่าน!J539"")+IMPORTRANGE(""https://docs.google.com/spreadsheets/d/1K0Aa9s-6EuHE5M0FG1F9aHLXRCOV917xvycTdLdct0w/edit?usp=share_link"",""พะเยา!J539"")+IMPORTRANGE(""https://docs.google.com/spreadsheets/d/1Y"&amp;"9LPKx95PyL5OKy09d-KbKJSuuEZCFdkhYjwC0XQjBA/edit?usp=share_link"",""พิจิตร!J539"")+IMPORTRANGE(""https://docs.google.com/spreadsheets/d/16OMuOwy2eVqZcYWOouQtTpa8X1L23h4660uVHc0C8os/edit?usp=share_link"",""พิษณุโลก!J539"")+IMPORTRANGE(""https://docs.google."&amp;"com/spreadsheets/d/1GfgTldLG6k77HXaMQzaafODklYuucJZQNs_GAPEfZyY/edit?usp=share_link"",""เพชรบูรณ์!J539"")+IMPORTRANGE(""https://docs.google.com/spreadsheets/d/1gvTMYAnm7v1yG1BKWFtr0DnaTsq59oW9dwWvFgq6hs0/edit?usp=share_link"",""แพร่!J539"")+IMPORTRANGE("""&amp;"https://docs.google.com/spreadsheets/d/1Wbcosgy-Xa1xXUArJSOenub6EfZHUSzc_bpJFWwQUf0/edit?usp=share_link"",""แม่ฮ่องสอน!J539"")+IMPORTRANGE(""https://docs.google.com/spreadsheets/d/1p7ERhsr0qZeSn-KSOdeHS9r0heI-lHtkcn2OH7hP0jQ/edit?usp=share_link"",""ลำปาง!"&amp;"J539"")+IMPORTRANGE(""https://docs.google.com/spreadsheets/d/1-uUXvimVhiU2U0bMN-xi2te0tS4X7DI2GLPnMjzl8cA/edit?usp=share_link"",""ลำพูน!J539"")+IMPORTRANGE(""https://docs.google.com/spreadsheets/d/17HrOaa5pBUI1onckFfumXB8xlg35qb2uBAFfF1D-Myo/edit?usp=shar"&amp;"e_link"",""สุโขทัย!J539"")+IMPORTRANGE(""https://docs.google.com/spreadsheets/d/1ubs5cl16eYL9gHbdHTJtmtYb9MGzHBs7CAphn8kNCgM/edit?usp=share_link"",""อุตรดิตถ์!J539"")+IMPORTRANGE(""https://docs.google.com/spreadsheets/d/1kII0BjS6CtVrBvI8IrytgPdxDrlyQDyigz"&amp;"MsohRtDMs/edit?usp=share_link"",""อุทัยธานี!J539"")
"),0)</f>
        <v>0</v>
      </c>
      <c r="K539" s="38">
        <f t="shared" ca="1" si="271"/>
        <v>0</v>
      </c>
      <c r="L539" s="38"/>
      <c r="M539" s="38"/>
      <c r="N539" s="38"/>
      <c r="O539" s="38"/>
      <c r="P539" s="38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>
      <c r="A540" s="538"/>
      <c r="B540" s="539"/>
      <c r="C540" s="540"/>
      <c r="D540" s="541"/>
      <c r="E540" s="650" t="s">
        <v>230</v>
      </c>
      <c r="F540" s="540"/>
      <c r="G540" s="189"/>
      <c r="H540" s="36" t="s">
        <v>35</v>
      </c>
      <c r="I540" s="270">
        <f ca="1">IFERROR(__xludf.DUMMYFUNCTION("IMPORTRANGE(""https://docs.google.com/spreadsheets/d/1KxicF4apzSqm0-jIpmueT4kyZtE-Cwn5zskl7GD4loQ/edit?usp=share_link"",""กำแพงเพชร!I540"")+IMPORTRANGE(""https://docs.google.com/spreadsheets/d/1ZNYWeiFoFA1K1U4xKWqRX29MBvEyRHXORjo734Gnq_c/edit?usp=share_li"&amp;"nk"",""เชียงราย!I540"")
+IMPORTRANGE(""https://docs.google.com/spreadsheets/d/1Jgv0Y7YlHDtsiDawwp-uvifEJ8HVaSn0k2aGHG8-hwM/edit?usp=share_link"",""เชียงใหม่!I540"")+IMPORTRANGE(""https://docs.google.com/spreadsheets/d/1JWG2rZePOz9pe-f-ObA-yDr0VoOX2kSb0qIi"&amp;"x2mTUo8/edit?usp=share_link"",""ตาก!I540"")+IMPORTRANGE(""https://docs.google.com/spreadsheets/d/10nSRjK08hx8Y6HgSOQKNw81lyY46Zc7U_Cj72hBMp9U/edit?usp=share_link"",""นครสวรรค์!I540"")+IMPORTRANGE(""https://docs.google.com/spreadsheets/d/1gFVb7qd7amutrIxAA"&amp;"oM7lcy35hllxznovot8lyOfvDo/edit?usp=share_link"",""น่าน!I540"")+IMPORTRANGE(""https://docs.google.com/spreadsheets/d/1K0Aa9s-6EuHE5M0FG1F9aHLXRCOV917xvycTdLdct0w/edit?usp=share_link"",""พะเยา!I540"")+IMPORTRANGE(""https://docs.google.com/spreadsheets/d/1Y"&amp;"9LPKx95PyL5OKy09d-KbKJSuuEZCFdkhYjwC0XQjBA/edit?usp=share_link"",""พิจิตร!I540"")+IMPORTRANGE(""https://docs.google.com/spreadsheets/d/16OMuOwy2eVqZcYWOouQtTpa8X1L23h4660uVHc0C8os/edit?usp=share_link"",""พิษณุโลก!I540"")+IMPORTRANGE(""https://docs.google."&amp;"com/spreadsheets/d/1GfgTldLG6k77HXaMQzaafODklYuucJZQNs_GAPEfZyY/edit?usp=share_link"",""เพชรบูรณ์!I540"")+IMPORTRANGE(""https://docs.google.com/spreadsheets/d/1gvTMYAnm7v1yG1BKWFtr0DnaTsq59oW9dwWvFgq6hs0/edit?usp=share_link"",""แพร่!I540"")+IMPORTRANGE("""&amp;"https://docs.google.com/spreadsheets/d/1Wbcosgy-Xa1xXUArJSOenub6EfZHUSzc_bpJFWwQUf0/edit?usp=share_link"",""แม่ฮ่องสอน!I540"")+IMPORTRANGE(""https://docs.google.com/spreadsheets/d/1p7ERhsr0qZeSn-KSOdeHS9r0heI-lHtkcn2OH7hP0jQ/edit?usp=share_link"",""ลำปาง!"&amp;"I540"")+IMPORTRANGE(""https://docs.google.com/spreadsheets/d/1-uUXvimVhiU2U0bMN-xi2te0tS4X7DI2GLPnMjzl8cA/edit?usp=share_link"",""ลำพูน!I540"")+IMPORTRANGE(""https://docs.google.com/spreadsheets/d/17HrOaa5pBUI1onckFfumXB8xlg35qb2uBAFfF1D-Myo/edit?usp=shar"&amp;"e_link"",""สุโขทัย!I540"")+IMPORTRANGE(""https://docs.google.com/spreadsheets/d/1ubs5cl16eYL9gHbdHTJtmtYb9MGzHBs7CAphn8kNCgM/edit?usp=share_link"",""อุตรดิตถ์!I540"")+IMPORTRANGE(""https://docs.google.com/spreadsheets/d/1kII0BjS6CtVrBvI8IrytgPdxDrlyQDyigz"&amp;"MsohRtDMs/edit?usp=share_link"",""อุทัยธานี!I540"")
"),0)</f>
        <v>0</v>
      </c>
      <c r="J540" s="183">
        <f ca="1">IFERROR(__xludf.DUMMYFUNCTION("IMPORTRANGE(""https://docs.google.com/spreadsheets/d/1KxicF4apzSqm0-jIpmueT4kyZtE-Cwn5zskl7GD4loQ/edit?usp=share_link"",""กำแพงเพชร!J540"")+IMPORTRANGE(""https://docs.google.com/spreadsheets/d/1ZNYWeiFoFA1K1U4xKWqRX29MBvEyRHXORjo734Gnq_c/edit?usp=share_li"&amp;"nk"",""เชียงราย!J540"")
+IMPORTRANGE(""https://docs.google.com/spreadsheets/d/1Jgv0Y7YlHDtsiDawwp-uvifEJ8HVaSn0k2aGHG8-hwM/edit?usp=share_link"",""เชียงใหม่!J540"")+IMPORTRANGE(""https://docs.google.com/spreadsheets/d/1JWG2rZePOz9pe-f-ObA-yDr0VoOX2kSb0qIi"&amp;"x2mTUo8/edit?usp=share_link"",""ตาก!J540"")+IMPORTRANGE(""https://docs.google.com/spreadsheets/d/10nSRjK08hx8Y6HgSOQKNw81lyY46Zc7U_Cj72hBMp9U/edit?usp=share_link"",""นครสวรรค์!J540"")+IMPORTRANGE(""https://docs.google.com/spreadsheets/d/1gFVb7qd7amutrIxAA"&amp;"oM7lcy35hllxznovot8lyOfvDo/edit?usp=share_link"",""น่าน!J540"")+IMPORTRANGE(""https://docs.google.com/spreadsheets/d/1K0Aa9s-6EuHE5M0FG1F9aHLXRCOV917xvycTdLdct0w/edit?usp=share_link"",""พะเยา!J540"")+IMPORTRANGE(""https://docs.google.com/spreadsheets/d/1Y"&amp;"9LPKx95PyL5OKy09d-KbKJSuuEZCFdkhYjwC0XQjBA/edit?usp=share_link"",""พิจิตร!J540"")+IMPORTRANGE(""https://docs.google.com/spreadsheets/d/16OMuOwy2eVqZcYWOouQtTpa8X1L23h4660uVHc0C8os/edit?usp=share_link"",""พิษณุโลก!J540"")+IMPORTRANGE(""https://docs.google."&amp;"com/spreadsheets/d/1GfgTldLG6k77HXaMQzaafODklYuucJZQNs_GAPEfZyY/edit?usp=share_link"",""เพชรบูรณ์!J540"")+IMPORTRANGE(""https://docs.google.com/spreadsheets/d/1gvTMYAnm7v1yG1BKWFtr0DnaTsq59oW9dwWvFgq6hs0/edit?usp=share_link"",""แพร่!J540"")+IMPORTRANGE("""&amp;"https://docs.google.com/spreadsheets/d/1Wbcosgy-Xa1xXUArJSOenub6EfZHUSzc_bpJFWwQUf0/edit?usp=share_link"",""แม่ฮ่องสอน!J540"")+IMPORTRANGE(""https://docs.google.com/spreadsheets/d/1p7ERhsr0qZeSn-KSOdeHS9r0heI-lHtkcn2OH7hP0jQ/edit?usp=share_link"",""ลำปาง!"&amp;"J540"")+IMPORTRANGE(""https://docs.google.com/spreadsheets/d/1-uUXvimVhiU2U0bMN-xi2te0tS4X7DI2GLPnMjzl8cA/edit?usp=share_link"",""ลำพูน!J540"")+IMPORTRANGE(""https://docs.google.com/spreadsheets/d/17HrOaa5pBUI1onckFfumXB8xlg35qb2uBAFfF1D-Myo/edit?usp=shar"&amp;"e_link"",""สุโขทัย!J540"")+IMPORTRANGE(""https://docs.google.com/spreadsheets/d/1ubs5cl16eYL9gHbdHTJtmtYb9MGzHBs7CAphn8kNCgM/edit?usp=share_link"",""อุตรดิตถ์!J540"")+IMPORTRANGE(""https://docs.google.com/spreadsheets/d/1kII0BjS6CtVrBvI8IrytgPdxDrlyQDyigz"&amp;"MsohRtDMs/edit?usp=share_link"",""อุทัยธานี!J540"")
"),0)</f>
        <v>0</v>
      </c>
      <c r="K540" s="38">
        <f t="shared" ca="1" si="271"/>
        <v>0</v>
      </c>
      <c r="L540" s="38"/>
      <c r="M540" s="38"/>
      <c r="N540" s="38"/>
      <c r="O540" s="38"/>
      <c r="P540" s="38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>
      <c r="A541" s="538"/>
      <c r="B541" s="539"/>
      <c r="C541" s="540"/>
      <c r="D541" s="541"/>
      <c r="E541" s="651" t="s">
        <v>231</v>
      </c>
      <c r="F541" s="540"/>
      <c r="G541" s="189"/>
      <c r="H541" s="36" t="s">
        <v>35</v>
      </c>
      <c r="I541" s="270">
        <f ca="1">IFERROR(__xludf.DUMMYFUNCTION("IMPORTRANGE(""https://docs.google.com/spreadsheets/d/1KxicF4apzSqm0-jIpmueT4kyZtE-Cwn5zskl7GD4loQ/edit?usp=share_link"",""กำแพงเพชร!I541"")+IMPORTRANGE(""https://docs.google.com/spreadsheets/d/1ZNYWeiFoFA1K1U4xKWqRX29MBvEyRHXORjo734Gnq_c/edit?usp=share_li"&amp;"nk"",""เชียงราย!I541"")
+IMPORTRANGE(""https://docs.google.com/spreadsheets/d/1Jgv0Y7YlHDtsiDawwp-uvifEJ8HVaSn0k2aGHG8-hwM/edit?usp=share_link"",""เชียงใหม่!I541"")+IMPORTRANGE(""https://docs.google.com/spreadsheets/d/1JWG2rZePOz9pe-f-ObA-yDr0VoOX2kSb0qIi"&amp;"x2mTUo8/edit?usp=share_link"",""ตาก!I541"")+IMPORTRANGE(""https://docs.google.com/spreadsheets/d/10nSRjK08hx8Y6HgSOQKNw81lyY46Zc7U_Cj72hBMp9U/edit?usp=share_link"",""นครสวรรค์!I541"")+IMPORTRANGE(""https://docs.google.com/spreadsheets/d/1gFVb7qd7amutrIxAA"&amp;"oM7lcy35hllxznovot8lyOfvDo/edit?usp=share_link"",""น่าน!I541"")+IMPORTRANGE(""https://docs.google.com/spreadsheets/d/1K0Aa9s-6EuHE5M0FG1F9aHLXRCOV917xvycTdLdct0w/edit?usp=share_link"",""พะเยา!I541"")+IMPORTRANGE(""https://docs.google.com/spreadsheets/d/1Y"&amp;"9LPKx95PyL5OKy09d-KbKJSuuEZCFdkhYjwC0XQjBA/edit?usp=share_link"",""พิจิตร!I541"")+IMPORTRANGE(""https://docs.google.com/spreadsheets/d/16OMuOwy2eVqZcYWOouQtTpa8X1L23h4660uVHc0C8os/edit?usp=share_link"",""พิษณุโลก!I541"")+IMPORTRANGE(""https://docs.google."&amp;"com/spreadsheets/d/1GfgTldLG6k77HXaMQzaafODklYuucJZQNs_GAPEfZyY/edit?usp=share_link"",""เพชรบูรณ์!I541"")+IMPORTRANGE(""https://docs.google.com/spreadsheets/d/1gvTMYAnm7v1yG1BKWFtr0DnaTsq59oW9dwWvFgq6hs0/edit?usp=share_link"",""แพร่!I541"")+IMPORTRANGE("""&amp;"https://docs.google.com/spreadsheets/d/1Wbcosgy-Xa1xXUArJSOenub6EfZHUSzc_bpJFWwQUf0/edit?usp=share_link"",""แม่ฮ่องสอน!I541"")+IMPORTRANGE(""https://docs.google.com/spreadsheets/d/1p7ERhsr0qZeSn-KSOdeHS9r0heI-lHtkcn2OH7hP0jQ/edit?usp=share_link"",""ลำปาง!"&amp;"I541"")+IMPORTRANGE(""https://docs.google.com/spreadsheets/d/1-uUXvimVhiU2U0bMN-xi2te0tS4X7DI2GLPnMjzl8cA/edit?usp=share_link"",""ลำพูน!I541"")+IMPORTRANGE(""https://docs.google.com/spreadsheets/d/17HrOaa5pBUI1onckFfumXB8xlg35qb2uBAFfF1D-Myo/edit?usp=shar"&amp;"e_link"",""สุโขทัย!I541"")+IMPORTRANGE(""https://docs.google.com/spreadsheets/d/1ubs5cl16eYL9gHbdHTJtmtYb9MGzHBs7CAphn8kNCgM/edit?usp=share_link"",""อุตรดิตถ์!I541"")+IMPORTRANGE(""https://docs.google.com/spreadsheets/d/1kII0BjS6CtVrBvI8IrytgPdxDrlyQDyigz"&amp;"MsohRtDMs/edit?usp=share_link"",""อุทัยธานี!I541"")
"),80)</f>
        <v>80</v>
      </c>
      <c r="J541" s="183">
        <f ca="1">IFERROR(__xludf.DUMMYFUNCTION("IMPORTRANGE(""https://docs.google.com/spreadsheets/d/1KxicF4apzSqm0-jIpmueT4kyZtE-Cwn5zskl7GD4loQ/edit?usp=share_link"",""กำแพงเพชร!J541"")+IMPORTRANGE(""https://docs.google.com/spreadsheets/d/1ZNYWeiFoFA1K1U4xKWqRX29MBvEyRHXORjo734Gnq_c/edit?usp=share_li"&amp;"nk"",""เชียงราย!J541"")
+IMPORTRANGE(""https://docs.google.com/spreadsheets/d/1Jgv0Y7YlHDtsiDawwp-uvifEJ8HVaSn0k2aGHG8-hwM/edit?usp=share_link"",""เชียงใหม่!J541"")+IMPORTRANGE(""https://docs.google.com/spreadsheets/d/1JWG2rZePOz9pe-f-ObA-yDr0VoOX2kSb0qIi"&amp;"x2mTUo8/edit?usp=share_link"",""ตาก!J541"")+IMPORTRANGE(""https://docs.google.com/spreadsheets/d/10nSRjK08hx8Y6HgSOQKNw81lyY46Zc7U_Cj72hBMp9U/edit?usp=share_link"",""นครสวรรค์!J541"")+IMPORTRANGE(""https://docs.google.com/spreadsheets/d/1gFVb7qd7amutrIxAA"&amp;"oM7lcy35hllxznovot8lyOfvDo/edit?usp=share_link"",""น่าน!J541"")+IMPORTRANGE(""https://docs.google.com/spreadsheets/d/1K0Aa9s-6EuHE5M0FG1F9aHLXRCOV917xvycTdLdct0w/edit?usp=share_link"",""พะเยา!J541"")+IMPORTRANGE(""https://docs.google.com/spreadsheets/d/1Y"&amp;"9LPKx95PyL5OKy09d-KbKJSuuEZCFdkhYjwC0XQjBA/edit?usp=share_link"",""พิจิตร!J541"")+IMPORTRANGE(""https://docs.google.com/spreadsheets/d/16OMuOwy2eVqZcYWOouQtTpa8X1L23h4660uVHc0C8os/edit?usp=share_link"",""พิษณุโลก!J541"")+IMPORTRANGE(""https://docs.google."&amp;"com/spreadsheets/d/1GfgTldLG6k77HXaMQzaafODklYuucJZQNs_GAPEfZyY/edit?usp=share_link"",""เพชรบูรณ์!J541"")+IMPORTRANGE(""https://docs.google.com/spreadsheets/d/1gvTMYAnm7v1yG1BKWFtr0DnaTsq59oW9dwWvFgq6hs0/edit?usp=share_link"",""แพร่!J541"")+IMPORTRANGE("""&amp;"https://docs.google.com/spreadsheets/d/1Wbcosgy-Xa1xXUArJSOenub6EfZHUSzc_bpJFWwQUf0/edit?usp=share_link"",""แม่ฮ่องสอน!J541"")+IMPORTRANGE(""https://docs.google.com/spreadsheets/d/1p7ERhsr0qZeSn-KSOdeHS9r0heI-lHtkcn2OH7hP0jQ/edit?usp=share_link"",""ลำปาง!"&amp;"J541"")+IMPORTRANGE(""https://docs.google.com/spreadsheets/d/1-uUXvimVhiU2U0bMN-xi2te0tS4X7DI2GLPnMjzl8cA/edit?usp=share_link"",""ลำพูน!J541"")+IMPORTRANGE(""https://docs.google.com/spreadsheets/d/17HrOaa5pBUI1onckFfumXB8xlg35qb2uBAFfF1D-Myo/edit?usp=shar"&amp;"e_link"",""สุโขทัย!J541"")+IMPORTRANGE(""https://docs.google.com/spreadsheets/d/1ubs5cl16eYL9gHbdHTJtmtYb9MGzHBs7CAphn8kNCgM/edit?usp=share_link"",""อุตรดิตถ์!J541"")+IMPORTRANGE(""https://docs.google.com/spreadsheets/d/1kII0BjS6CtVrBvI8IrytgPdxDrlyQDyigz"&amp;"MsohRtDMs/edit?usp=share_link"",""อุทัยธานี!J541"")
"),24)</f>
        <v>24</v>
      </c>
      <c r="K541" s="38">
        <f t="shared" ca="1" si="271"/>
        <v>30</v>
      </c>
      <c r="L541" s="38"/>
      <c r="M541" s="38"/>
      <c r="N541" s="38"/>
      <c r="O541" s="38"/>
      <c r="P541" s="38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>
      <c r="A542" s="538"/>
      <c r="B542" s="539"/>
      <c r="C542" s="540"/>
      <c r="D542" s="541" t="s">
        <v>59</v>
      </c>
      <c r="E542" s="540"/>
      <c r="F542" s="540"/>
      <c r="G542" s="189"/>
      <c r="H542" s="36" t="s">
        <v>35</v>
      </c>
      <c r="I542" s="37">
        <f ca="1">IFERROR(__xludf.DUMMYFUNCTION("IMPORTRANGE(""https://docs.google.com/spreadsheets/d/1KxicF4apzSqm0-jIpmueT4kyZtE-Cwn5zskl7GD4loQ/edit?usp=share_link"",""กำแพงเพชร!I542"")+IMPORTRANGE(""https://docs.google.com/spreadsheets/d/1ZNYWeiFoFA1K1U4xKWqRX29MBvEyRHXORjo734Gnq_c/edit?usp=share_li"&amp;"nk"",""เชียงราย!I542"")
+IMPORTRANGE(""https://docs.google.com/spreadsheets/d/1Jgv0Y7YlHDtsiDawwp-uvifEJ8HVaSn0k2aGHG8-hwM/edit?usp=share_link"",""เชียงใหม่!I542"")+IMPORTRANGE(""https://docs.google.com/spreadsheets/d/1JWG2rZePOz9pe-f-ObA-yDr0VoOX2kSb0qIi"&amp;"x2mTUo8/edit?usp=share_link"",""ตาก!I542"")+IMPORTRANGE(""https://docs.google.com/spreadsheets/d/10nSRjK08hx8Y6HgSOQKNw81lyY46Zc7U_Cj72hBMp9U/edit?usp=share_link"",""นครสวรรค์!I542"")+IMPORTRANGE(""https://docs.google.com/spreadsheets/d/1gFVb7qd7amutrIxAA"&amp;"oM7lcy35hllxznovot8lyOfvDo/edit?usp=share_link"",""น่าน!I542"")+IMPORTRANGE(""https://docs.google.com/spreadsheets/d/1K0Aa9s-6EuHE5M0FG1F9aHLXRCOV917xvycTdLdct0w/edit?usp=share_link"",""พะเยา!I542"")+IMPORTRANGE(""https://docs.google.com/spreadsheets/d/1Y"&amp;"9LPKx95PyL5OKy09d-KbKJSuuEZCFdkhYjwC0XQjBA/edit?usp=share_link"",""พิจิตร!I542"")+IMPORTRANGE(""https://docs.google.com/spreadsheets/d/16OMuOwy2eVqZcYWOouQtTpa8X1L23h4660uVHc0C8os/edit?usp=share_link"",""พิษณุโลก!I542"")+IMPORTRANGE(""https://docs.google."&amp;"com/spreadsheets/d/1GfgTldLG6k77HXaMQzaafODklYuucJZQNs_GAPEfZyY/edit?usp=share_link"",""เพชรบูรณ์!I542"")+IMPORTRANGE(""https://docs.google.com/spreadsheets/d/1gvTMYAnm7v1yG1BKWFtr0DnaTsq59oW9dwWvFgq6hs0/edit?usp=share_link"",""แพร่!I542"")+IMPORTRANGE("""&amp;"https://docs.google.com/spreadsheets/d/1Wbcosgy-Xa1xXUArJSOenub6EfZHUSzc_bpJFWwQUf0/edit?usp=share_link"",""แม่ฮ่องสอน!I542"")+IMPORTRANGE(""https://docs.google.com/spreadsheets/d/1p7ERhsr0qZeSn-KSOdeHS9r0heI-lHtkcn2OH7hP0jQ/edit?usp=share_link"",""ลำปาง!"&amp;"I542"")+IMPORTRANGE(""https://docs.google.com/spreadsheets/d/1-uUXvimVhiU2U0bMN-xi2te0tS4X7DI2GLPnMjzl8cA/edit?usp=share_link"",""ลำพูน!I542"")+IMPORTRANGE(""https://docs.google.com/spreadsheets/d/17HrOaa5pBUI1onckFfumXB8xlg35qb2uBAFfF1D-Myo/edit?usp=shar"&amp;"e_link"",""สุโขทัย!I542"")+IMPORTRANGE(""https://docs.google.com/spreadsheets/d/1ubs5cl16eYL9gHbdHTJtmtYb9MGzHBs7CAphn8kNCgM/edit?usp=share_link"",""อุตรดิตถ์!I542"")+IMPORTRANGE(""https://docs.google.com/spreadsheets/d/1kII0BjS6CtVrBvI8IrytgPdxDrlyQDyigz"&amp;"MsohRtDMs/edit?usp=share_link"",""อุทัยธานี!I542"")
"),80)</f>
        <v>80</v>
      </c>
      <c r="J542" s="183">
        <f ca="1">IFERROR(__xludf.DUMMYFUNCTION("IMPORTRANGE(""https://docs.google.com/spreadsheets/d/1KxicF4apzSqm0-jIpmueT4kyZtE-Cwn5zskl7GD4loQ/edit?usp=share_link"",""กำแพงเพชร!J542"")+IMPORTRANGE(""https://docs.google.com/spreadsheets/d/1ZNYWeiFoFA1K1U4xKWqRX29MBvEyRHXORjo734Gnq_c/edit?usp=share_li"&amp;"nk"",""เชียงราย!J542"")
+IMPORTRANGE(""https://docs.google.com/spreadsheets/d/1Jgv0Y7YlHDtsiDawwp-uvifEJ8HVaSn0k2aGHG8-hwM/edit?usp=share_link"",""เชียงใหม่!J542"")+IMPORTRANGE(""https://docs.google.com/spreadsheets/d/1JWG2rZePOz9pe-f-ObA-yDr0VoOX2kSb0qIi"&amp;"x2mTUo8/edit?usp=share_link"",""ตาก!J542"")+IMPORTRANGE(""https://docs.google.com/spreadsheets/d/10nSRjK08hx8Y6HgSOQKNw81lyY46Zc7U_Cj72hBMp9U/edit?usp=share_link"",""นครสวรรค์!J542"")+IMPORTRANGE(""https://docs.google.com/spreadsheets/d/1gFVb7qd7amutrIxAA"&amp;"oM7lcy35hllxznovot8lyOfvDo/edit?usp=share_link"",""น่าน!J542"")+IMPORTRANGE(""https://docs.google.com/spreadsheets/d/1K0Aa9s-6EuHE5M0FG1F9aHLXRCOV917xvycTdLdct0w/edit?usp=share_link"",""พะเยา!J542"")+IMPORTRANGE(""https://docs.google.com/spreadsheets/d/1Y"&amp;"9LPKx95PyL5OKy09d-KbKJSuuEZCFdkhYjwC0XQjBA/edit?usp=share_link"",""พิจิตร!J542"")+IMPORTRANGE(""https://docs.google.com/spreadsheets/d/16OMuOwy2eVqZcYWOouQtTpa8X1L23h4660uVHc0C8os/edit?usp=share_link"",""พิษณุโลก!J542"")+IMPORTRANGE(""https://docs.google."&amp;"com/spreadsheets/d/1GfgTldLG6k77HXaMQzaafODklYuucJZQNs_GAPEfZyY/edit?usp=share_link"",""เพชรบูรณ์!J542"")+IMPORTRANGE(""https://docs.google.com/spreadsheets/d/1gvTMYAnm7v1yG1BKWFtr0DnaTsq59oW9dwWvFgq6hs0/edit?usp=share_link"",""แพร่!J542"")+IMPORTRANGE("""&amp;"https://docs.google.com/spreadsheets/d/1Wbcosgy-Xa1xXUArJSOenub6EfZHUSzc_bpJFWwQUf0/edit?usp=share_link"",""แม่ฮ่องสอน!J542"")+IMPORTRANGE(""https://docs.google.com/spreadsheets/d/1p7ERhsr0qZeSn-KSOdeHS9r0heI-lHtkcn2OH7hP0jQ/edit?usp=share_link"",""ลำปาง!"&amp;"J542"")+IMPORTRANGE(""https://docs.google.com/spreadsheets/d/1-uUXvimVhiU2U0bMN-xi2te0tS4X7DI2GLPnMjzl8cA/edit?usp=share_link"",""ลำพูน!J542"")+IMPORTRANGE(""https://docs.google.com/spreadsheets/d/17HrOaa5pBUI1onckFfumXB8xlg35qb2uBAFfF1D-Myo/edit?usp=shar"&amp;"e_link"",""สุโขทัย!J542"")+IMPORTRANGE(""https://docs.google.com/spreadsheets/d/1ubs5cl16eYL9gHbdHTJtmtYb9MGzHBs7CAphn8kNCgM/edit?usp=share_link"",""อุตรดิตถ์!J542"")+IMPORTRANGE(""https://docs.google.com/spreadsheets/d/1kII0BjS6CtVrBvI8IrytgPdxDrlyQDyigz"&amp;"MsohRtDMs/edit?usp=share_link"",""อุทัยธานี!J542"")
"),0)</f>
        <v>0</v>
      </c>
      <c r="K542" s="38">
        <f t="shared" ca="1" si="271"/>
        <v>0</v>
      </c>
      <c r="L542" s="38"/>
      <c r="M542" s="38"/>
      <c r="N542" s="38"/>
      <c r="O542" s="38"/>
      <c r="P542" s="38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72">I559</f>
        <v>789391</v>
      </c>
      <c r="J543" s="654">
        <f t="shared" ca="1" si="272"/>
        <v>0</v>
      </c>
      <c r="K543" s="655">
        <f t="shared" ca="1" si="271"/>
        <v>0</v>
      </c>
      <c r="L543" s="637"/>
      <c r="M543" s="637"/>
      <c r="N543" s="637"/>
      <c r="O543" s="637"/>
      <c r="P543" s="637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1" t="s">
        <v>17</v>
      </c>
      <c r="E544" s="928"/>
      <c r="F544" s="928"/>
      <c r="G544" s="658"/>
      <c r="H544" s="275" t="s">
        <v>12</v>
      </c>
      <c r="I544" s="153"/>
      <c r="J544" s="153"/>
      <c r="K544" s="154"/>
      <c r="L544" s="155">
        <f t="shared" ref="L544:N544" ca="1" si="273">L545+L546</f>
        <v>7876340</v>
      </c>
      <c r="M544" s="155">
        <f t="shared" si="273"/>
        <v>0</v>
      </c>
      <c r="N544" s="155">
        <f t="shared" ca="1" si="273"/>
        <v>1769933.42</v>
      </c>
      <c r="O544" s="155">
        <f t="shared" ref="O544:O549" ca="1" si="274">IF(L544&gt;0,N544*100/L544,0)</f>
        <v>22.471521290345517</v>
      </c>
      <c r="P544" s="155">
        <f t="shared" ref="P544:P549" si="275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565"/>
      <c r="C545" s="565"/>
      <c r="D545" s="565"/>
      <c r="E545" s="567" t="s">
        <v>184</v>
      </c>
      <c r="F545" s="565"/>
      <c r="G545" s="568"/>
      <c r="H545" s="165" t="s">
        <v>12</v>
      </c>
      <c r="I545" s="44"/>
      <c r="J545" s="44"/>
      <c r="K545" s="45"/>
      <c r="L545" s="45">
        <f t="shared" ref="L545:L546" si="276">L548+L556</f>
        <v>0</v>
      </c>
      <c r="M545" s="45">
        <f t="shared" ref="M545:N545" si="277">M548+M555</f>
        <v>0</v>
      </c>
      <c r="N545" s="45">
        <f t="shared" si="277"/>
        <v>0</v>
      </c>
      <c r="O545" s="45">
        <f t="shared" si="274"/>
        <v>0</v>
      </c>
      <c r="P545" s="45">
        <f t="shared" si="275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0"/>
      <c r="C546" s="565"/>
      <c r="D546" s="565"/>
      <c r="E546" s="567" t="s">
        <v>185</v>
      </c>
      <c r="F546" s="565"/>
      <c r="G546" s="568"/>
      <c r="H546" s="165" t="s">
        <v>12</v>
      </c>
      <c r="I546" s="44"/>
      <c r="J546" s="44"/>
      <c r="K546" s="45"/>
      <c r="L546" s="45">
        <f t="shared" ca="1" si="276"/>
        <v>7876340</v>
      </c>
      <c r="M546" s="45">
        <f t="shared" ref="M546:N546" si="278">M549+M556</f>
        <v>0</v>
      </c>
      <c r="N546" s="45">
        <f t="shared" ca="1" si="278"/>
        <v>1769933.42</v>
      </c>
      <c r="O546" s="45">
        <f t="shared" ca="1" si="274"/>
        <v>22.471521290345517</v>
      </c>
      <c r="P546" s="45">
        <f t="shared" si="275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540"/>
      <c r="D547" s="571" t="s">
        <v>20</v>
      </c>
      <c r="E547" s="540"/>
      <c r="F547" s="540"/>
      <c r="G547" s="189"/>
      <c r="H547" s="161" t="s">
        <v>12</v>
      </c>
      <c r="I547" s="162"/>
      <c r="J547" s="162"/>
      <c r="K547" s="163"/>
      <c r="L547" s="38">
        <f t="shared" ref="L547:N547" ca="1" si="279">L548+L549</f>
        <v>7876340</v>
      </c>
      <c r="M547" s="38">
        <f t="shared" si="279"/>
        <v>0</v>
      </c>
      <c r="N547" s="38">
        <f t="shared" ca="1" si="279"/>
        <v>1769933.42</v>
      </c>
      <c r="O547" s="38">
        <f t="shared" ca="1" si="274"/>
        <v>22.471521290345517</v>
      </c>
      <c r="P547" s="38">
        <f t="shared" si="275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0"/>
      <c r="C548" s="565"/>
      <c r="D548" s="566"/>
      <c r="E548" s="567" t="s">
        <v>184</v>
      </c>
      <c r="F548" s="565"/>
      <c r="G548" s="56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4"/>
        <v>0</v>
      </c>
      <c r="P548" s="45">
        <f t="shared" si="275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0"/>
      <c r="C549" s="565"/>
      <c r="D549" s="566"/>
      <c r="E549" s="567" t="s">
        <v>185</v>
      </c>
      <c r="F549" s="565"/>
      <c r="G549" s="568"/>
      <c r="H549" s="165" t="s">
        <v>12</v>
      </c>
      <c r="I549" s="44"/>
      <c r="J549" s="44"/>
      <c r="K549" s="45"/>
      <c r="L549" s="45">
        <f ca="1">IFERROR(__xludf.DUMMYFUNCTION("IMPORTRANGE(""https://docs.google.com/spreadsheets/d/1KxicF4apzSqm0-jIpmueT4kyZtE-Cwn5zskl7GD4loQ/edit?usp=share_link"",""กำแพงเพชร!l549"")+IMPORTRANGE(""https://docs.google.com/spreadsheets/d/1ZNYWeiFoFA1K1U4xKWqRX29MBvEyRHXORjo734Gnq_c/edit?usp=share_li"&amp;"nk"",""เชียงราย!l549"")
+IMPORTRANGE(""https://docs.google.com/spreadsheets/d/1Jgv0Y7YlHDtsiDawwp-uvifEJ8HVaSn0k2aGHG8-hwM/edit?usp=share_link"",""เชียงใหม่!l549"")+IMPORTRANGE(""https://docs.google.com/spreadsheets/d/1JWG2rZePOz9pe-f-ObA-yDr0VoOX2kSb0qIi"&amp;"x2mTUo8/edit?usp=share_link"",""ตาก!l549"")+IMPORTRANGE(""https://docs.google.com/spreadsheets/d/10nSRjK08hx8Y6HgSOQKNw81lyY46Zc7U_Cj72hBMp9U/edit?usp=share_link"",""นครสวรรค์!l549"")+IMPORTRANGE(""https://docs.google.com/spreadsheets/d/1gFVb7qd7amutrIxAA"&amp;"oM7lcy35hllxznovot8lyOfvDo/edit?usp=share_link"",""น่าน!l549"")+IMPORTRANGE(""https://docs.google.com/spreadsheets/d/1K0Aa9s-6EuHE5M0FG1F9aHLXRCOV917xvycTdLdct0w/edit?usp=share_link"",""พะเยา!l549"")+IMPORTRANGE(""https://docs.google.com/spreadsheets/d/1Y"&amp;"9LPKx95PyL5OKy09d-KbKJSuuEZCFdkhYjwC0XQjBA/edit?usp=share_link"",""พิจิตร!l549"")+IMPORTRANGE(""https://docs.google.com/spreadsheets/d/16OMuOwy2eVqZcYWOouQtTpa8X1L23h4660uVHc0C8os/edit?usp=share_link"",""พิษณุโลก!l549"")+IMPORTRANGE(""https://docs.google."&amp;"com/spreadsheets/d/1GfgTldLG6k77HXaMQzaafODklYuucJZQNs_GAPEfZyY/edit?usp=share_link"",""เพชรบูรณ์!l549"")+IMPORTRANGE(""https://docs.google.com/spreadsheets/d/1gvTMYAnm7v1yG1BKWFtr0DnaTsq59oW9dwWvFgq6hs0/edit?usp=share_link"",""แพร่!l549"")+IMPORTRANGE("""&amp;"https://docs.google.com/spreadsheets/d/1Wbcosgy-Xa1xXUArJSOenub6EfZHUSzc_bpJFWwQUf0/edit?usp=share_link"",""แม่ฮ่องสอน!l549"")+IMPORTRANGE(""https://docs.google.com/spreadsheets/d/1p7ERhsr0qZeSn-KSOdeHS9r0heI-lHtkcn2OH7hP0jQ/edit?usp=share_link"",""ลำปาง!"&amp;"l549"")+IMPORTRANGE(""https://docs.google.com/spreadsheets/d/1-uUXvimVhiU2U0bMN-xi2te0tS4X7DI2GLPnMjzl8cA/edit?usp=share_link"",""ลำพูน!l549"")+IMPORTRANGE(""https://docs.google.com/spreadsheets/d/17HrOaa5pBUI1onckFfumXB8xlg35qb2uBAFfF1D-Myo/edit?usp=shar"&amp;"e_link"",""สุโขทัย!l549"")+IMPORTRANGE(""https://docs.google.com/spreadsheets/d/1ubs5cl16eYL9gHbdHTJtmtYb9MGzHBs7CAphn8kNCgM/edit?usp=share_link"",""อุตรดิตถ์!l549"")+IMPORTRANGE(""https://docs.google.com/spreadsheets/d/1kII0BjS6CtVrBvI8IrytgPdxDrlyQDyigz"&amp;"MsohRtDMs/edit?usp=share_link"",""อุทัยธานี!l549"")
"),7876340)</f>
        <v>7876340</v>
      </c>
      <c r="M549" s="93">
        <v>0</v>
      </c>
      <c r="N549" s="45">
        <f ca="1">N550+N551+N552+N553+N554</f>
        <v>1769933.42</v>
      </c>
      <c r="O549" s="45">
        <f t="shared" ca="1" si="274"/>
        <v>22.471521290345517</v>
      </c>
      <c r="P549" s="45">
        <f t="shared" si="275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540"/>
      <c r="D550" s="540"/>
      <c r="E550" s="540"/>
      <c r="F550" s="541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xicF4apzSqm0-jIpmueT4kyZtE-Cwn5zskl7GD4loQ/edit?usp=share_link"",""กำแพงเพชร!n550"")+IMPORTRANGE(""https://docs.google.com/spreadsheets/d/1ZNYWeiFoFA1K1U4xKWqRX29MBvEyRHXORjo734Gnq_c/edit?usp=share_li"&amp;"nk"",""เชียงราย!n550"")
+IMPORTRANGE(""https://docs.google.com/spreadsheets/d/1Jgv0Y7YlHDtsiDawwp-uvifEJ8HVaSn0k2aGHG8-hwM/edit?usp=share_link"",""เชียงใหม่!n550"")+IMPORTRANGE(""https://docs.google.com/spreadsheets/d/1JWG2rZePOz9pe-f-ObA-yDr0VoOX2kSb0qIi"&amp;"x2mTUo8/edit?usp=share_link"",""ตาก!n550"")+IMPORTRANGE(""https://docs.google.com/spreadsheets/d/10nSRjK08hx8Y6HgSOQKNw81lyY46Zc7U_Cj72hBMp9U/edit?usp=share_link"",""นครสวรรค์!n550"")+IMPORTRANGE(""https://docs.google.com/spreadsheets/d/1gFVb7qd7amutrIxAA"&amp;"oM7lcy35hllxznovot8lyOfvDo/edit?usp=share_link"",""น่าน!n550"")+IMPORTRANGE(""https://docs.google.com/spreadsheets/d/1K0Aa9s-6EuHE5M0FG1F9aHLXRCOV917xvycTdLdct0w/edit?usp=share_link"",""พะเยา!n550"")+IMPORTRANGE(""https://docs.google.com/spreadsheets/d/1Y"&amp;"9LPKx95PyL5OKy09d-KbKJSuuEZCFdkhYjwC0XQjBA/edit?usp=share_link"",""พิจิตร!n550"")+IMPORTRANGE(""https://docs.google.com/spreadsheets/d/16OMuOwy2eVqZcYWOouQtTpa8X1L23h4660uVHc0C8os/edit?usp=share_link"",""พิษณุโลก!n550"")+IMPORTRANGE(""https://docs.google."&amp;"com/spreadsheets/d/1GfgTldLG6k77HXaMQzaafODklYuucJZQNs_GAPEfZyY/edit?usp=share_link"",""เพชรบูรณ์!n550"")+IMPORTRANGE(""https://docs.google.com/spreadsheets/d/1gvTMYAnm7v1yG1BKWFtr0DnaTsq59oW9dwWvFgq6hs0/edit?usp=share_link"",""แพร่!n550"")+IMPORTRANGE("""&amp;"https://docs.google.com/spreadsheets/d/1Wbcosgy-Xa1xXUArJSOenub6EfZHUSzc_bpJFWwQUf0/edit?usp=share_link"",""แม่ฮ่องสอน!n550"")+IMPORTRANGE(""https://docs.google.com/spreadsheets/d/1p7ERhsr0qZeSn-KSOdeHS9r0heI-lHtkcn2OH7hP0jQ/edit?usp=share_link"",""ลำปาง!"&amp;"n550"")+IMPORTRANGE(""https://docs.google.com/spreadsheets/d/1-uUXvimVhiU2U0bMN-xi2te0tS4X7DI2GLPnMjzl8cA/edit?usp=share_link"",""ลำพูน!n550"")+IMPORTRANGE(""https://docs.google.com/spreadsheets/d/17HrOaa5pBUI1onckFfumXB8xlg35qb2uBAFfF1D-Myo/edit?usp=shar"&amp;"e_link"",""สุโขทัย!n550"")+IMPORTRANGE(""https://docs.google.com/spreadsheets/d/1ubs5cl16eYL9gHbdHTJtmtYb9MGzHBs7CAphn8kNCgM/edit?usp=share_link"",""อุตรดิตถ์!n550"")+IMPORTRANGE(""https://docs.google.com/spreadsheets/d/1kII0BjS6CtVrBvI8IrytgPdxDrlyQDyigz"&amp;"MsohRtDMs/edit?usp=share_link"",""อุทัยธานี!n550"")
"),0)</f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540"/>
      <c r="F551" s="541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xicF4apzSqm0-jIpmueT4kyZtE-Cwn5zskl7GD4loQ/edit?usp=share_link"",""กำแพงเพชร!n551"")+IMPORTRANGE(""https://docs.google.com/spreadsheets/d/1ZNYWeiFoFA1K1U4xKWqRX29MBvEyRHXORjo734Gnq_c/edit?usp=share_li"&amp;"nk"",""เชียงราย!n551"")
+IMPORTRANGE(""https://docs.google.com/spreadsheets/d/1Jgv0Y7YlHDtsiDawwp-uvifEJ8HVaSn0k2aGHG8-hwM/edit?usp=share_link"",""เชียงใหม่!n551"")+IMPORTRANGE(""https://docs.google.com/spreadsheets/d/1JWG2rZePOz9pe-f-ObA-yDr0VoOX2kSb0qIi"&amp;"x2mTUo8/edit?usp=share_link"",""ตาก!n551"")+IMPORTRANGE(""https://docs.google.com/spreadsheets/d/10nSRjK08hx8Y6HgSOQKNw81lyY46Zc7U_Cj72hBMp9U/edit?usp=share_link"",""นครสวรรค์!n551"")+IMPORTRANGE(""https://docs.google.com/spreadsheets/d/1gFVb7qd7amutrIxAA"&amp;"oM7lcy35hllxznovot8lyOfvDo/edit?usp=share_link"",""น่าน!n551"")+IMPORTRANGE(""https://docs.google.com/spreadsheets/d/1K0Aa9s-6EuHE5M0FG1F9aHLXRCOV917xvycTdLdct0w/edit?usp=share_link"",""พะเยา!n551"")+IMPORTRANGE(""https://docs.google.com/spreadsheets/d/1Y"&amp;"9LPKx95PyL5OKy09d-KbKJSuuEZCFdkhYjwC0XQjBA/edit?usp=share_link"",""พิจิตร!n551"")+IMPORTRANGE(""https://docs.google.com/spreadsheets/d/16OMuOwy2eVqZcYWOouQtTpa8X1L23h4660uVHc0C8os/edit?usp=share_link"",""พิษณุโลก!n551"")+IMPORTRANGE(""https://docs.google."&amp;"com/spreadsheets/d/1GfgTldLG6k77HXaMQzaafODklYuucJZQNs_GAPEfZyY/edit?usp=share_link"",""เพชรบูรณ์!n551"")+IMPORTRANGE(""https://docs.google.com/spreadsheets/d/1gvTMYAnm7v1yG1BKWFtr0DnaTsq59oW9dwWvFgq6hs0/edit?usp=share_link"",""แพร่!n551"")+IMPORTRANGE("""&amp;"https://docs.google.com/spreadsheets/d/1Wbcosgy-Xa1xXUArJSOenub6EfZHUSzc_bpJFWwQUf0/edit?usp=share_link"",""แม่ฮ่องสอน!n551"")+IMPORTRANGE(""https://docs.google.com/spreadsheets/d/1p7ERhsr0qZeSn-KSOdeHS9r0heI-lHtkcn2OH7hP0jQ/edit?usp=share_link"",""ลำปาง!"&amp;"n551"")+IMPORTRANGE(""https://docs.google.com/spreadsheets/d/1-uUXvimVhiU2U0bMN-xi2te0tS4X7DI2GLPnMjzl8cA/edit?usp=share_link"",""ลำพูน!n551"")+IMPORTRANGE(""https://docs.google.com/spreadsheets/d/17HrOaa5pBUI1onckFfumXB8xlg35qb2uBAFfF1D-Myo/edit?usp=shar"&amp;"e_link"",""สุโขทัย!n551"")+IMPORTRANGE(""https://docs.google.com/spreadsheets/d/1ubs5cl16eYL9gHbdHTJtmtYb9MGzHBs7CAphn8kNCgM/edit?usp=share_link"",""อุตรดิตถ์!n551"")+IMPORTRANGE(""https://docs.google.com/spreadsheets/d/1kII0BjS6CtVrBvI8IrytgPdxDrlyQDyigz"&amp;"MsohRtDMs/edit?usp=share_link"",""อุทัยธานี!n551"")
"),27000)</f>
        <v>27000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540"/>
      <c r="D552" s="540"/>
      <c r="E552" s="540"/>
      <c r="F552" s="541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xicF4apzSqm0-jIpmueT4kyZtE-Cwn5zskl7GD4loQ/edit?usp=share_link"",""กำแพงเพชร!n552"")+IMPORTRANGE(""https://docs.google.com/spreadsheets/d/1ZNYWeiFoFA1K1U4xKWqRX29MBvEyRHXORjo734Gnq_c/edit?usp=share_li"&amp;"nk"",""เชียงราย!n552"")
+IMPORTRANGE(""https://docs.google.com/spreadsheets/d/1Jgv0Y7YlHDtsiDawwp-uvifEJ8HVaSn0k2aGHG8-hwM/edit?usp=share_link"",""เชียงใหม่!n552"")+IMPORTRANGE(""https://docs.google.com/spreadsheets/d/1JWG2rZePOz9pe-f-ObA-yDr0VoOX2kSb0qIi"&amp;"x2mTUo8/edit?usp=share_link"",""ตาก!n552"")+IMPORTRANGE(""https://docs.google.com/spreadsheets/d/10nSRjK08hx8Y6HgSOQKNw81lyY46Zc7U_Cj72hBMp9U/edit?usp=share_link"",""นครสวรรค์!n552"")+IMPORTRANGE(""https://docs.google.com/spreadsheets/d/1gFVb7qd7amutrIxAA"&amp;"oM7lcy35hllxznovot8lyOfvDo/edit?usp=share_link"",""น่าน!n552"")+IMPORTRANGE(""https://docs.google.com/spreadsheets/d/1K0Aa9s-6EuHE5M0FG1F9aHLXRCOV917xvycTdLdct0w/edit?usp=share_link"",""พะเยา!n552"")+IMPORTRANGE(""https://docs.google.com/spreadsheets/d/1Y"&amp;"9LPKx95PyL5OKy09d-KbKJSuuEZCFdkhYjwC0XQjBA/edit?usp=share_link"",""พิจิตร!n552"")+IMPORTRANGE(""https://docs.google.com/spreadsheets/d/16OMuOwy2eVqZcYWOouQtTpa8X1L23h4660uVHc0C8os/edit?usp=share_link"",""พิษณุโลก!n552"")+IMPORTRANGE(""https://docs.google."&amp;"com/spreadsheets/d/1GfgTldLG6k77HXaMQzaafODklYuucJZQNs_GAPEfZyY/edit?usp=share_link"",""เพชรบูรณ์!n552"")+IMPORTRANGE(""https://docs.google.com/spreadsheets/d/1gvTMYAnm7v1yG1BKWFtr0DnaTsq59oW9dwWvFgq6hs0/edit?usp=share_link"",""แพร่!n552"")+IMPORTRANGE("""&amp;"https://docs.google.com/spreadsheets/d/1Wbcosgy-Xa1xXUArJSOenub6EfZHUSzc_bpJFWwQUf0/edit?usp=share_link"",""แม่ฮ่องสอน!n552"")+IMPORTRANGE(""https://docs.google.com/spreadsheets/d/1p7ERhsr0qZeSn-KSOdeHS9r0heI-lHtkcn2OH7hP0jQ/edit?usp=share_link"",""ลำปาง!"&amp;"n552"")+IMPORTRANGE(""https://docs.google.com/spreadsheets/d/1-uUXvimVhiU2U0bMN-xi2te0tS4X7DI2GLPnMjzl8cA/edit?usp=share_link"",""ลำพูน!n552"")+IMPORTRANGE(""https://docs.google.com/spreadsheets/d/17HrOaa5pBUI1onckFfumXB8xlg35qb2uBAFfF1D-Myo/edit?usp=shar"&amp;"e_link"",""สุโขทัย!n552"")+IMPORTRANGE(""https://docs.google.com/spreadsheets/d/1ubs5cl16eYL9gHbdHTJtmtYb9MGzHBs7CAphn8kNCgM/edit?usp=share_link"",""อุตรดิตถ์!n552"")+IMPORTRANGE(""https://docs.google.com/spreadsheets/d/1kII0BjS6CtVrBvI8IrytgPdxDrlyQDyigz"&amp;"MsohRtDMs/edit?usp=share_link"",""อุทัยธานี!n552"")
"),640182.72)</f>
        <v>640182.72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540"/>
      <c r="F553" s="541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xicF4apzSqm0-jIpmueT4kyZtE-Cwn5zskl7GD4loQ/edit?usp=share_link"",""กำแพงเพชร!n553"")+IMPORTRANGE(""https://docs.google.com/spreadsheets/d/1ZNYWeiFoFA1K1U4xKWqRX29MBvEyRHXORjo734Gnq_c/edit?usp=share_li"&amp;"nk"",""เชียงราย!n553"")
+IMPORTRANGE(""https://docs.google.com/spreadsheets/d/1Jgv0Y7YlHDtsiDawwp-uvifEJ8HVaSn0k2aGHG8-hwM/edit?usp=share_link"",""เชียงใหม่!n553"")+IMPORTRANGE(""https://docs.google.com/spreadsheets/d/1JWG2rZePOz9pe-f-ObA-yDr0VoOX2kSb0qIi"&amp;"x2mTUo8/edit?usp=share_link"",""ตาก!n553"")+IMPORTRANGE(""https://docs.google.com/spreadsheets/d/10nSRjK08hx8Y6HgSOQKNw81lyY46Zc7U_Cj72hBMp9U/edit?usp=share_link"",""นครสวรรค์!n553"")+IMPORTRANGE(""https://docs.google.com/spreadsheets/d/1gFVb7qd7amutrIxAA"&amp;"oM7lcy35hllxznovot8lyOfvDo/edit?usp=share_link"",""น่าน!n553"")+IMPORTRANGE(""https://docs.google.com/spreadsheets/d/1K0Aa9s-6EuHE5M0FG1F9aHLXRCOV917xvycTdLdct0w/edit?usp=share_link"",""พะเยา!n553"")+IMPORTRANGE(""https://docs.google.com/spreadsheets/d/1Y"&amp;"9LPKx95PyL5OKy09d-KbKJSuuEZCFdkhYjwC0XQjBA/edit?usp=share_link"",""พิจิตร!n553"")+IMPORTRANGE(""https://docs.google.com/spreadsheets/d/16OMuOwy2eVqZcYWOouQtTpa8X1L23h4660uVHc0C8os/edit?usp=share_link"",""พิษณุโลก!n553"")+IMPORTRANGE(""https://docs.google."&amp;"com/spreadsheets/d/1GfgTldLG6k77HXaMQzaafODklYuucJZQNs_GAPEfZyY/edit?usp=share_link"",""เพชรบูรณ์!n553"")+IMPORTRANGE(""https://docs.google.com/spreadsheets/d/1gvTMYAnm7v1yG1BKWFtr0DnaTsq59oW9dwWvFgq6hs0/edit?usp=share_link"",""แพร่!n553"")+IMPORTRANGE("""&amp;"https://docs.google.com/spreadsheets/d/1Wbcosgy-Xa1xXUArJSOenub6EfZHUSzc_bpJFWwQUf0/edit?usp=share_link"",""แม่ฮ่องสอน!n553"")+IMPORTRANGE(""https://docs.google.com/spreadsheets/d/1p7ERhsr0qZeSn-KSOdeHS9r0heI-lHtkcn2OH7hP0jQ/edit?usp=share_link"",""ลำปาง!"&amp;"n553"")+IMPORTRANGE(""https://docs.google.com/spreadsheets/d/1-uUXvimVhiU2U0bMN-xi2te0tS4X7DI2GLPnMjzl8cA/edit?usp=share_link"",""ลำพูน!n553"")+IMPORTRANGE(""https://docs.google.com/spreadsheets/d/17HrOaa5pBUI1onckFfumXB8xlg35qb2uBAFfF1D-Myo/edit?usp=shar"&amp;"e_link"",""สุโขทัย!n553"")+IMPORTRANGE(""https://docs.google.com/spreadsheets/d/1ubs5cl16eYL9gHbdHTJtmtYb9MGzHBs7CAphn8kNCgM/edit?usp=share_link"",""อุตรดิตถ์!n553"")+IMPORTRANGE(""https://docs.google.com/spreadsheets/d/1kII0BjS6CtVrBvI8IrytgPdxDrlyQDyigz"&amp;"MsohRtDMs/edit?usp=share_link"",""อุทัยธานี!n553"")
"),1102750.7)</f>
        <v>1102750.7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540"/>
      <c r="F554" s="541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xicF4apzSqm0-jIpmueT4kyZtE-Cwn5zskl7GD4loQ/edit?usp=share_link"",""กำแพงเพชร!n554"")+IMPORTRANGE(""https://docs.google.com/spreadsheets/d/1ZNYWeiFoFA1K1U4xKWqRX29MBvEyRHXORjo734Gnq_c/edit?usp=share_li"&amp;"nk"",""เชียงราย!n554"")
+IMPORTRANGE(""https://docs.google.com/spreadsheets/d/1Jgv0Y7YlHDtsiDawwp-uvifEJ8HVaSn0k2aGHG8-hwM/edit?usp=share_link"",""เชียงใหม่!n554"")+IMPORTRANGE(""https://docs.google.com/spreadsheets/d/1JWG2rZePOz9pe-f-ObA-yDr0VoOX2kSb0qIi"&amp;"x2mTUo8/edit?usp=share_link"",""ตาก!n554"")+IMPORTRANGE(""https://docs.google.com/spreadsheets/d/10nSRjK08hx8Y6HgSOQKNw81lyY46Zc7U_Cj72hBMp9U/edit?usp=share_link"",""นครสวรรค์!n554"")+IMPORTRANGE(""https://docs.google.com/spreadsheets/d/1gFVb7qd7amutrIxAA"&amp;"oM7lcy35hllxznovot8lyOfvDo/edit?usp=share_link"",""น่าน!n554"")+IMPORTRANGE(""https://docs.google.com/spreadsheets/d/1K0Aa9s-6EuHE5M0FG1F9aHLXRCOV917xvycTdLdct0w/edit?usp=share_link"",""พะเยา!n554"")+IMPORTRANGE(""https://docs.google.com/spreadsheets/d/1Y"&amp;"9LPKx95PyL5OKy09d-KbKJSuuEZCFdkhYjwC0XQjBA/edit?usp=share_link"",""พิจิตร!n554"")+IMPORTRANGE(""https://docs.google.com/spreadsheets/d/16OMuOwy2eVqZcYWOouQtTpa8X1L23h4660uVHc0C8os/edit?usp=share_link"",""พิษณุโลก!n554"")+IMPORTRANGE(""https://docs.google."&amp;"com/spreadsheets/d/1GfgTldLG6k77HXaMQzaafODklYuucJZQNs_GAPEfZyY/edit?usp=share_link"",""เพชรบูรณ์!n554"")+IMPORTRANGE(""https://docs.google.com/spreadsheets/d/1gvTMYAnm7v1yG1BKWFtr0DnaTsq59oW9dwWvFgq6hs0/edit?usp=share_link"",""แพร่!n554"")+IMPORTRANGE("""&amp;"https://docs.google.com/spreadsheets/d/1Wbcosgy-Xa1xXUArJSOenub6EfZHUSzc_bpJFWwQUf0/edit?usp=share_link"",""แม่ฮ่องสอน!n554"")+IMPORTRANGE(""https://docs.google.com/spreadsheets/d/1p7ERhsr0qZeSn-KSOdeHS9r0heI-lHtkcn2OH7hP0jQ/edit?usp=share_link"",""ลำปาง!"&amp;"n554"")+IMPORTRANGE(""https://docs.google.com/spreadsheets/d/1-uUXvimVhiU2U0bMN-xi2te0tS4X7DI2GLPnMjzl8cA/edit?usp=share_link"",""ลำพูน!n554"")+IMPORTRANGE(""https://docs.google.com/spreadsheets/d/17HrOaa5pBUI1onckFfumXB8xlg35qb2uBAFfF1D-Myo/edit?usp=shar"&amp;"e_link"",""สุโขทัย!n554"")+IMPORTRANGE(""https://docs.google.com/spreadsheets/d/1ubs5cl16eYL9gHbdHTJtmtYb9MGzHBs7CAphn8kNCgM/edit?usp=share_link"",""อุตรดิตถ์!n554"")+IMPORTRANGE(""https://docs.google.com/spreadsheets/d/1kII0BjS6CtVrBvI8IrytgPdxDrlyQDyigz"&amp;"MsohRtDMs/edit?usp=share_link"",""อุทัยธานี!n554"")
"),0)</f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540"/>
      <c r="F555" s="540"/>
      <c r="G555" s="189"/>
      <c r="H555" s="168" t="s">
        <v>12</v>
      </c>
      <c r="I555" s="162"/>
      <c r="J555" s="162"/>
      <c r="K555" s="163"/>
      <c r="L555" s="38">
        <f t="shared" ref="L555:N555" ca="1" si="280">L556+L557</f>
        <v>0</v>
      </c>
      <c r="M555" s="38">
        <f t="shared" si="280"/>
        <v>0</v>
      </c>
      <c r="N555" s="38">
        <f t="shared" si="280"/>
        <v>0</v>
      </c>
      <c r="O555" s="38">
        <f t="shared" ref="O555:O557" ca="1" si="281">IF(L555&gt;0,N555*100/L555,0)</f>
        <v>0</v>
      </c>
      <c r="P555" s="38">
        <f t="shared" ref="P555:P557" si="282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0"/>
      <c r="C556" s="570"/>
      <c r="D556" s="565"/>
      <c r="E556" s="567" t="s">
        <v>18</v>
      </c>
      <c r="F556" s="565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1"/>
        <v>0</v>
      </c>
      <c r="P556" s="45">
        <f t="shared" si="282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0"/>
      <c r="C557" s="570"/>
      <c r="D557" s="565"/>
      <c r="E557" s="567" t="s">
        <v>19</v>
      </c>
      <c r="F557" s="565"/>
      <c r="G557" s="56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xicF4apzSqm0-jIpmueT4kyZtE-Cwn5zskl7GD4loQ/edit?usp=share_link"",""กำแพงเพชร!l557"")+IMPORTRANGE(""https://docs.google.com/spreadsheets/d/1ZNYWeiFoFA1K1U4xKWqRX29MBvEyRHXORjo734Gnq_c/edit?usp=share_li"&amp;"nk"",""เชียงราย!l557"")
+IMPORTRANGE(""https://docs.google.com/spreadsheets/d/1Jgv0Y7YlHDtsiDawwp-uvifEJ8HVaSn0k2aGHG8-hwM/edit?usp=share_link"",""เชียงใหม่!l557"")+IMPORTRANGE(""https://docs.google.com/spreadsheets/d/1JWG2rZePOz9pe-f-ObA-yDr0VoOX2kSb0qIi"&amp;"x2mTUo8/edit?usp=share_link"",""ตาก!l557"")+IMPORTRANGE(""https://docs.google.com/spreadsheets/d/10nSRjK08hx8Y6HgSOQKNw81lyY46Zc7U_Cj72hBMp9U/edit?usp=share_link"",""นครสวรรค์!l557"")+IMPORTRANGE(""https://docs.google.com/spreadsheets/d/1gFVb7qd7amutrIxAA"&amp;"oM7lcy35hllxznovot8lyOfvDo/edit?usp=share_link"",""น่าน!l557"")+IMPORTRANGE(""https://docs.google.com/spreadsheets/d/1K0Aa9s-6EuHE5M0FG1F9aHLXRCOV917xvycTdLdct0w/edit?usp=share_link"",""พะเยา!l557"")+IMPORTRANGE(""https://docs.google.com/spreadsheets/d/1Y"&amp;"9LPKx95PyL5OKy09d-KbKJSuuEZCFdkhYjwC0XQjBA/edit?usp=share_link"",""พิจิตร!l557"")+IMPORTRANGE(""https://docs.google.com/spreadsheets/d/16OMuOwy2eVqZcYWOouQtTpa8X1L23h4660uVHc0C8os/edit?usp=share_link"",""พิษณุโลก!l557"")+IMPORTRANGE(""https://docs.google."&amp;"com/spreadsheets/d/1GfgTldLG6k77HXaMQzaafODklYuucJZQNs_GAPEfZyY/edit?usp=share_link"",""เพชรบูรณ์!l557"")+IMPORTRANGE(""https://docs.google.com/spreadsheets/d/1gvTMYAnm7v1yG1BKWFtr0DnaTsq59oW9dwWvFgq6hs0/edit?usp=share_link"",""แพร่!l557"")+IMPORTRANGE("""&amp;"https://docs.google.com/spreadsheets/d/1Wbcosgy-Xa1xXUArJSOenub6EfZHUSzc_bpJFWwQUf0/edit?usp=share_link"",""แม่ฮ่องสอน!l557"")+IMPORTRANGE(""https://docs.google.com/spreadsheets/d/1p7ERhsr0qZeSn-KSOdeHS9r0heI-lHtkcn2OH7hP0jQ/edit?usp=share_link"",""ลำปาง!"&amp;"l557"")+IMPORTRANGE(""https://docs.google.com/spreadsheets/d/1-uUXvimVhiU2U0bMN-xi2te0tS4X7DI2GLPnMjzl8cA/edit?usp=share_link"",""ลำพูน!l557"")+IMPORTRANGE(""https://docs.google.com/spreadsheets/d/17HrOaa5pBUI1onckFfumXB8xlg35qb2uBAFfF1D-Myo/edit?usp=shar"&amp;"e_link"",""สุโขทัย!l557"")+IMPORTRANGE(""https://docs.google.com/spreadsheets/d/1ubs5cl16eYL9gHbdHTJtmtYb9MGzHBs7CAphn8kNCgM/edit?usp=share_link"",""อุตรดิตถ์!l557"")+IMPORTRANGE(""https://docs.google.com/spreadsheets/d/1kII0BjS6CtVrBvI8IrytgPdxDrlyQDyigz"&amp;"MsohRtDMs/edit?usp=share_link"",""อุทัยธานี!l557"")
"),0)</f>
        <v>0</v>
      </c>
      <c r="M557" s="93">
        <v>0</v>
      </c>
      <c r="N557" s="93">
        <v>0</v>
      </c>
      <c r="O557" s="45">
        <f t="shared" ca="1" si="281"/>
        <v>0</v>
      </c>
      <c r="P557" s="45">
        <f t="shared" si="282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74"/>
      <c r="C558" s="539" t="s">
        <v>16</v>
      </c>
      <c r="D558" s="646" t="s">
        <v>38</v>
      </c>
      <c r="E558" s="577"/>
      <c r="F558" s="577"/>
      <c r="G558" s="578"/>
      <c r="H558" s="175"/>
      <c r="I558" s="162"/>
      <c r="J558" s="162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43">
        <f t="shared" ref="I559:J559" ca="1" si="283">I576</f>
        <v>789391</v>
      </c>
      <c r="J559" s="643">
        <f t="shared" ca="1" si="283"/>
        <v>0</v>
      </c>
      <c r="K559" s="644">
        <f t="shared" ref="K559:K561" ca="1" si="284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74"/>
      <c r="C560" s="589" t="s">
        <v>235</v>
      </c>
      <c r="D560" s="574"/>
      <c r="E560" s="586"/>
      <c r="F560" s="586"/>
      <c r="G560" s="175"/>
      <c r="H560" s="192" t="s">
        <v>46</v>
      </c>
      <c r="I560" s="193">
        <f ca="1">IFERROR(__xludf.DUMMYFUNCTION("IMPORTRANGE(""https://docs.google.com/spreadsheets/d/1KxicF4apzSqm0-jIpmueT4kyZtE-Cwn5zskl7GD4loQ/edit?usp=share_link"",""กำแพงเพชร!I560"")+IMPORTRANGE(""https://docs.google.com/spreadsheets/d/1ZNYWeiFoFA1K1U4xKWqRX29MBvEyRHXORjo734Gnq_c/edit?usp=share_li"&amp;"nk"",""เชียงราย!I560"")
+IMPORTRANGE(""https://docs.google.com/spreadsheets/d/1Jgv0Y7YlHDtsiDawwp-uvifEJ8HVaSn0k2aGHG8-hwM/edit?usp=share_link"",""เชียงใหม่!I560"")+IMPORTRANGE(""https://docs.google.com/spreadsheets/d/1JWG2rZePOz9pe-f-ObA-yDr0VoOX2kSb0qIi"&amp;"x2mTUo8/edit?usp=share_link"",""ตาก!I560"")+IMPORTRANGE(""https://docs.google.com/spreadsheets/d/10nSRjK08hx8Y6HgSOQKNw81lyY46Zc7U_Cj72hBMp9U/edit?usp=share_link"",""นครสวรรค์!I560"")+IMPORTRANGE(""https://docs.google.com/spreadsheets/d/1gFVb7qd7amutrIxAA"&amp;"oM7lcy35hllxznovot8lyOfvDo/edit?usp=share_link"",""น่าน!I560"")+IMPORTRANGE(""https://docs.google.com/spreadsheets/d/1K0Aa9s-6EuHE5M0FG1F9aHLXRCOV917xvycTdLdct0w/edit?usp=share_link"",""พะเยา!I560"")+IMPORTRANGE(""https://docs.google.com/spreadsheets/d/1Y"&amp;"9LPKx95PyL5OKy09d-KbKJSuuEZCFdkhYjwC0XQjBA/edit?usp=share_link"",""พิจิตร!I560"")+IMPORTRANGE(""https://docs.google.com/spreadsheets/d/16OMuOwy2eVqZcYWOouQtTpa8X1L23h4660uVHc0C8os/edit?usp=share_link"",""พิษณุโลก!I560"")+IMPORTRANGE(""https://docs.google."&amp;"com/spreadsheets/d/1GfgTldLG6k77HXaMQzaafODklYuucJZQNs_GAPEfZyY/edit?usp=share_link"",""เพชรบูรณ์!I560"")+IMPORTRANGE(""https://docs.google.com/spreadsheets/d/1gvTMYAnm7v1yG1BKWFtr0DnaTsq59oW9dwWvFgq6hs0/edit?usp=share_link"",""แพร่!I560"")+IMPORTRANGE("""&amp;"https://docs.google.com/spreadsheets/d/1Wbcosgy-Xa1xXUArJSOenub6EfZHUSzc_bpJFWwQUf0/edit?usp=share_link"",""แม่ฮ่องสอน!I560"")+IMPORTRANGE(""https://docs.google.com/spreadsheets/d/1p7ERhsr0qZeSn-KSOdeHS9r0heI-lHtkcn2OH7hP0jQ/edit?usp=share_link"",""ลำปาง!"&amp;"I560"")+IMPORTRANGE(""https://docs.google.com/spreadsheets/d/1-uUXvimVhiU2U0bMN-xi2te0tS4X7DI2GLPnMjzl8cA/edit?usp=share_link"",""ลำพูน!I560"")+IMPORTRANGE(""https://docs.google.com/spreadsheets/d/17HrOaa5pBUI1onckFfumXB8xlg35qb2uBAFfF1D-Myo/edit?usp=shar"&amp;"e_link"",""สุโขทัย!I560"")+IMPORTRANGE(""https://docs.google.com/spreadsheets/d/1ubs5cl16eYL9gHbdHTJtmtYb9MGzHBs7CAphn8kNCgM/edit?usp=share_link"",""อุตรดิตถ์!I560"")+IMPORTRANGE(""https://docs.google.com/spreadsheets/d/1kII0BjS6CtVrBvI8IrytgPdxDrlyQDyigz"&amp;"MsohRtDMs/edit?usp=share_link"",""อุทัยธานี!I560"")
"),789391)</f>
        <v>789391</v>
      </c>
      <c r="J560" s="193">
        <f t="shared" ref="J560:J561" ca="1" si="285">J562+J564+J566</f>
        <v>567562.97999999905</v>
      </c>
      <c r="K560" s="380">
        <f t="shared" ca="1" si="284"/>
        <v>71.89884100528117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74"/>
      <c r="C561" s="574"/>
      <c r="D561" s="586"/>
      <c r="E561" s="586"/>
      <c r="F561" s="586"/>
      <c r="G561" s="175"/>
      <c r="H561" s="192" t="s">
        <v>34</v>
      </c>
      <c r="I561" s="193">
        <f ca="1">IFERROR(__xludf.DUMMYFUNCTION("IMPORTRANGE(""https://docs.google.com/spreadsheets/d/1KxicF4apzSqm0-jIpmueT4kyZtE-Cwn5zskl7GD4loQ/edit?usp=share_link"",""กำแพงเพชร!I561"")+IMPORTRANGE(""https://docs.google.com/spreadsheets/d/1ZNYWeiFoFA1K1U4xKWqRX29MBvEyRHXORjo734Gnq_c/edit?usp=share_li"&amp;"nk"",""เชียงราย!I561"")
+IMPORTRANGE(""https://docs.google.com/spreadsheets/d/1Jgv0Y7YlHDtsiDawwp-uvifEJ8HVaSn0k2aGHG8-hwM/edit?usp=share_link"",""เชียงใหม่!I561"")+IMPORTRANGE(""https://docs.google.com/spreadsheets/d/1JWG2rZePOz9pe-f-ObA-yDr0VoOX2kSb0qIi"&amp;"x2mTUo8/edit?usp=share_link"",""ตาก!I561"")+IMPORTRANGE(""https://docs.google.com/spreadsheets/d/10nSRjK08hx8Y6HgSOQKNw81lyY46Zc7U_Cj72hBMp9U/edit?usp=share_link"",""นครสวรรค์!I561"")+IMPORTRANGE(""https://docs.google.com/spreadsheets/d/1gFVb7qd7amutrIxAA"&amp;"oM7lcy35hllxznovot8lyOfvDo/edit?usp=share_link"",""น่าน!I561"")+IMPORTRANGE(""https://docs.google.com/spreadsheets/d/1K0Aa9s-6EuHE5M0FG1F9aHLXRCOV917xvycTdLdct0w/edit?usp=share_link"",""พะเยา!I561"")+IMPORTRANGE(""https://docs.google.com/spreadsheets/d/1Y"&amp;"9LPKx95PyL5OKy09d-KbKJSuuEZCFdkhYjwC0XQjBA/edit?usp=share_link"",""พิจิตร!I561"")+IMPORTRANGE(""https://docs.google.com/spreadsheets/d/16OMuOwy2eVqZcYWOouQtTpa8X1L23h4660uVHc0C8os/edit?usp=share_link"",""พิษณุโลก!I561"")+IMPORTRANGE(""https://docs.google."&amp;"com/spreadsheets/d/1GfgTldLG6k77HXaMQzaafODklYuucJZQNs_GAPEfZyY/edit?usp=share_link"",""เพชรบูรณ์!I561"")+IMPORTRANGE(""https://docs.google.com/spreadsheets/d/1gvTMYAnm7v1yG1BKWFtr0DnaTsq59oW9dwWvFgq6hs0/edit?usp=share_link"",""แพร่!I561"")+IMPORTRANGE("""&amp;"https://docs.google.com/spreadsheets/d/1Wbcosgy-Xa1xXUArJSOenub6EfZHUSzc_bpJFWwQUf0/edit?usp=share_link"",""แม่ฮ่องสอน!I561"")+IMPORTRANGE(""https://docs.google.com/spreadsheets/d/1p7ERhsr0qZeSn-KSOdeHS9r0heI-lHtkcn2OH7hP0jQ/edit?usp=share_link"",""ลำปาง!"&amp;"I561"")+IMPORTRANGE(""https://docs.google.com/spreadsheets/d/1-uUXvimVhiU2U0bMN-xi2te0tS4X7DI2GLPnMjzl8cA/edit?usp=share_link"",""ลำพูน!I561"")+IMPORTRANGE(""https://docs.google.com/spreadsheets/d/17HrOaa5pBUI1onckFfumXB8xlg35qb2uBAFfF1D-Myo/edit?usp=shar"&amp;"e_link"",""สุโขทัย!I561"")+IMPORTRANGE(""https://docs.google.com/spreadsheets/d/1ubs5cl16eYL9gHbdHTJtmtYb9MGzHBs7CAphn8kNCgM/edit?usp=share_link"",""อุตรดิตถ์!I561"")+IMPORTRANGE(""https://docs.google.com/spreadsheets/d/1kII0BjS6CtVrBvI8IrytgPdxDrlyQDyigz"&amp;"MsohRtDMs/edit?usp=share_link"",""อุทัยธานี!I561"")
"),94109)</f>
        <v>94109</v>
      </c>
      <c r="J561" s="193">
        <f t="shared" ca="1" si="285"/>
        <v>74529</v>
      </c>
      <c r="K561" s="380">
        <f t="shared" ca="1" si="284"/>
        <v>79.194338479847829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74"/>
      <c r="C562" s="574"/>
      <c r="D562" s="187" t="s">
        <v>236</v>
      </c>
      <c r="E562" s="586"/>
      <c r="F562" s="586"/>
      <c r="G562" s="175"/>
      <c r="H562" s="182" t="s">
        <v>46</v>
      </c>
      <c r="I562" s="162"/>
      <c r="J562" s="183">
        <f ca="1">IFERROR(__xludf.DUMMYFUNCTION("IMPORTRANGE(""https://docs.google.com/spreadsheets/d/1KxicF4apzSqm0-jIpmueT4kyZtE-Cwn5zskl7GD4loQ/edit?usp=share_link"",""กำแพงเพชร!J562"")+IMPORTRANGE(""https://docs.google.com/spreadsheets/d/1ZNYWeiFoFA1K1U4xKWqRX29MBvEyRHXORjo734Gnq_c/edit?usp=share_li"&amp;"nk"",""เชียงราย!J562"")
+IMPORTRANGE(""https://docs.google.com/spreadsheets/d/1Jgv0Y7YlHDtsiDawwp-uvifEJ8HVaSn0k2aGHG8-hwM/edit?usp=share_link"",""เชียงใหม่!J562"")+IMPORTRANGE(""https://docs.google.com/spreadsheets/d/1JWG2rZePOz9pe-f-ObA-yDr0VoOX2kSb0qIi"&amp;"x2mTUo8/edit?usp=share_link"",""ตาก!J562"")+IMPORTRANGE(""https://docs.google.com/spreadsheets/d/10nSRjK08hx8Y6HgSOQKNw81lyY46Zc7U_Cj72hBMp9U/edit?usp=share_link"",""นครสวรรค์!J562"")+IMPORTRANGE(""https://docs.google.com/spreadsheets/d/1gFVb7qd7amutrIxAA"&amp;"oM7lcy35hllxznovot8lyOfvDo/edit?usp=share_link"",""น่าน!J562"")+IMPORTRANGE(""https://docs.google.com/spreadsheets/d/1K0Aa9s-6EuHE5M0FG1F9aHLXRCOV917xvycTdLdct0w/edit?usp=share_link"",""พะเยา!J562"")+IMPORTRANGE(""https://docs.google.com/spreadsheets/d/1Y"&amp;"9LPKx95PyL5OKy09d-KbKJSuuEZCFdkhYjwC0XQjBA/edit?usp=share_link"",""พิจิตร!J562"")+IMPORTRANGE(""https://docs.google.com/spreadsheets/d/16OMuOwy2eVqZcYWOouQtTpa8X1L23h4660uVHc0C8os/edit?usp=share_link"",""พิษณุโลก!J562"")+IMPORTRANGE(""https://docs.google."&amp;"com/spreadsheets/d/1GfgTldLG6k77HXaMQzaafODklYuucJZQNs_GAPEfZyY/edit?usp=share_link"",""เพชรบูรณ์!J562"")+IMPORTRANGE(""https://docs.google.com/spreadsheets/d/1gvTMYAnm7v1yG1BKWFtr0DnaTsq59oW9dwWvFgq6hs0/edit?usp=share_link"",""แพร่!J562"")+IMPORTRANGE("""&amp;"https://docs.google.com/spreadsheets/d/1Wbcosgy-Xa1xXUArJSOenub6EfZHUSzc_bpJFWwQUf0/edit?usp=share_link"",""แม่ฮ่องสอน!J562"")+IMPORTRANGE(""https://docs.google.com/spreadsheets/d/1p7ERhsr0qZeSn-KSOdeHS9r0heI-lHtkcn2OH7hP0jQ/edit?usp=share_link"",""ลำปาง!"&amp;"J562"")+IMPORTRANGE(""https://docs.google.com/spreadsheets/d/1-uUXvimVhiU2U0bMN-xi2te0tS4X7DI2GLPnMjzl8cA/edit?usp=share_link"",""ลำพูน!J562"")+IMPORTRANGE(""https://docs.google.com/spreadsheets/d/17HrOaa5pBUI1onckFfumXB8xlg35qb2uBAFfF1D-Myo/edit?usp=shar"&amp;"e_link"",""สุโขทัย!J562"")+IMPORTRANGE(""https://docs.google.com/spreadsheets/d/1ubs5cl16eYL9gHbdHTJtmtYb9MGzHBs7CAphn8kNCgM/edit?usp=share_link"",""อุตรดิตถ์!J562"")+IMPORTRANGE(""https://docs.google.com/spreadsheets/d/1kII0BjS6CtVrBvI8IrytgPdxDrlyQDyigz"&amp;"MsohRtDMs/edit?usp=share_link"",""อุทัยธานี!J562"")
"),458089.459999999)</f>
        <v>458089.45999999897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74"/>
      <c r="C563" s="574"/>
      <c r="D563" s="574"/>
      <c r="E563" s="586"/>
      <c r="F563" s="586"/>
      <c r="G563" s="175"/>
      <c r="H563" s="182" t="s">
        <v>34</v>
      </c>
      <c r="I563" s="162"/>
      <c r="J563" s="183">
        <f ca="1">IFERROR(__xludf.DUMMYFUNCTION("IMPORTRANGE(""https://docs.google.com/spreadsheets/d/1KxicF4apzSqm0-jIpmueT4kyZtE-Cwn5zskl7GD4loQ/edit?usp=share_link"",""กำแพงเพชร!J563"")+IMPORTRANGE(""https://docs.google.com/spreadsheets/d/1ZNYWeiFoFA1K1U4xKWqRX29MBvEyRHXORjo734Gnq_c/edit?usp=share_li"&amp;"nk"",""เชียงราย!J563"")
+IMPORTRANGE(""https://docs.google.com/spreadsheets/d/1Jgv0Y7YlHDtsiDawwp-uvifEJ8HVaSn0k2aGHG8-hwM/edit?usp=share_link"",""เชียงใหม่!J563"")+IMPORTRANGE(""https://docs.google.com/spreadsheets/d/1JWG2rZePOz9pe-f-ObA-yDr0VoOX2kSb0qIi"&amp;"x2mTUo8/edit?usp=share_link"",""ตาก!J563"")+IMPORTRANGE(""https://docs.google.com/spreadsheets/d/10nSRjK08hx8Y6HgSOQKNw81lyY46Zc7U_Cj72hBMp9U/edit?usp=share_link"",""นครสวรรค์!J563"")+IMPORTRANGE(""https://docs.google.com/spreadsheets/d/1gFVb7qd7amutrIxAA"&amp;"oM7lcy35hllxznovot8lyOfvDo/edit?usp=share_link"",""น่าน!J563"")+IMPORTRANGE(""https://docs.google.com/spreadsheets/d/1K0Aa9s-6EuHE5M0FG1F9aHLXRCOV917xvycTdLdct0w/edit?usp=share_link"",""พะเยา!J563"")+IMPORTRANGE(""https://docs.google.com/spreadsheets/d/1Y"&amp;"9LPKx95PyL5OKy09d-KbKJSuuEZCFdkhYjwC0XQjBA/edit?usp=share_link"",""พิจิตร!J563"")+IMPORTRANGE(""https://docs.google.com/spreadsheets/d/16OMuOwy2eVqZcYWOouQtTpa8X1L23h4660uVHc0C8os/edit?usp=share_link"",""พิษณุโลก!J563"")+IMPORTRANGE(""https://docs.google."&amp;"com/spreadsheets/d/1GfgTldLG6k77HXaMQzaafODklYuucJZQNs_GAPEfZyY/edit?usp=share_link"",""เพชรบูรณ์!J563"")+IMPORTRANGE(""https://docs.google.com/spreadsheets/d/1gvTMYAnm7v1yG1BKWFtr0DnaTsq59oW9dwWvFgq6hs0/edit?usp=share_link"",""แพร่!J563"")+IMPORTRANGE("""&amp;"https://docs.google.com/spreadsheets/d/1Wbcosgy-Xa1xXUArJSOenub6EfZHUSzc_bpJFWwQUf0/edit?usp=share_link"",""แม่ฮ่องสอน!J563"")+IMPORTRANGE(""https://docs.google.com/spreadsheets/d/1p7ERhsr0qZeSn-KSOdeHS9r0heI-lHtkcn2OH7hP0jQ/edit?usp=share_link"",""ลำปาง!"&amp;"J563"")+IMPORTRANGE(""https://docs.google.com/spreadsheets/d/1-uUXvimVhiU2U0bMN-xi2te0tS4X7DI2GLPnMjzl8cA/edit?usp=share_link"",""ลำพูน!J563"")+IMPORTRANGE(""https://docs.google.com/spreadsheets/d/17HrOaa5pBUI1onckFfumXB8xlg35qb2uBAFfF1D-Myo/edit?usp=shar"&amp;"e_link"",""สุโขทัย!J563"")+IMPORTRANGE(""https://docs.google.com/spreadsheets/d/1ubs5cl16eYL9gHbdHTJtmtYb9MGzHBs7CAphn8kNCgM/edit?usp=share_link"",""อุตรดิตถ์!J563"")+IMPORTRANGE(""https://docs.google.com/spreadsheets/d/1kII0BjS6CtVrBvI8IrytgPdxDrlyQDyigz"&amp;"MsohRtDMs/edit?usp=share_link"",""อุทัยธานี!J563"")
"),62888)</f>
        <v>62888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74"/>
      <c r="C564" s="574"/>
      <c r="D564" s="187" t="s">
        <v>237</v>
      </c>
      <c r="E564" s="586"/>
      <c r="F564" s="586"/>
      <c r="G564" s="175"/>
      <c r="H564" s="182" t="s">
        <v>46</v>
      </c>
      <c r="I564" s="162"/>
      <c r="J564" s="183">
        <f ca="1">IFERROR(__xludf.DUMMYFUNCTION("IMPORTRANGE(""https://docs.google.com/spreadsheets/d/1KxicF4apzSqm0-jIpmueT4kyZtE-Cwn5zskl7GD4loQ/edit?usp=share_link"",""กำแพงเพชร!J564"")+IMPORTRANGE(""https://docs.google.com/spreadsheets/d/1ZNYWeiFoFA1K1U4xKWqRX29MBvEyRHXORjo734Gnq_c/edit?usp=share_li"&amp;"nk"",""เชียงราย!J564"")
+IMPORTRANGE(""https://docs.google.com/spreadsheets/d/1Jgv0Y7YlHDtsiDawwp-uvifEJ8HVaSn0k2aGHG8-hwM/edit?usp=share_link"",""เชียงใหม่!J564"")+IMPORTRANGE(""https://docs.google.com/spreadsheets/d/1JWG2rZePOz9pe-f-ObA-yDr0VoOX2kSb0qIi"&amp;"x2mTUo8/edit?usp=share_link"",""ตาก!J564"")+IMPORTRANGE(""https://docs.google.com/spreadsheets/d/10nSRjK08hx8Y6HgSOQKNw81lyY46Zc7U_Cj72hBMp9U/edit?usp=share_link"",""นครสวรรค์!J564"")+IMPORTRANGE(""https://docs.google.com/spreadsheets/d/1gFVb7qd7amutrIxAA"&amp;"oM7lcy35hllxznovot8lyOfvDo/edit?usp=share_link"",""น่าน!J564"")+IMPORTRANGE(""https://docs.google.com/spreadsheets/d/1K0Aa9s-6EuHE5M0FG1F9aHLXRCOV917xvycTdLdct0w/edit?usp=share_link"",""พะเยา!J564"")+IMPORTRANGE(""https://docs.google.com/spreadsheets/d/1Y"&amp;"9LPKx95PyL5OKy09d-KbKJSuuEZCFdkhYjwC0XQjBA/edit?usp=share_link"",""พิจิตร!J564"")+IMPORTRANGE(""https://docs.google.com/spreadsheets/d/16OMuOwy2eVqZcYWOouQtTpa8X1L23h4660uVHc0C8os/edit?usp=share_link"",""พิษณุโลก!J564"")+IMPORTRANGE(""https://docs.google."&amp;"com/spreadsheets/d/1GfgTldLG6k77HXaMQzaafODklYuucJZQNs_GAPEfZyY/edit?usp=share_link"",""เพชรบูรณ์!J564"")+IMPORTRANGE(""https://docs.google.com/spreadsheets/d/1gvTMYAnm7v1yG1BKWFtr0DnaTsq59oW9dwWvFgq6hs0/edit?usp=share_link"",""แพร่!J564"")+IMPORTRANGE("""&amp;"https://docs.google.com/spreadsheets/d/1Wbcosgy-Xa1xXUArJSOenub6EfZHUSzc_bpJFWwQUf0/edit?usp=share_link"",""แม่ฮ่องสอน!J564"")+IMPORTRANGE(""https://docs.google.com/spreadsheets/d/1p7ERhsr0qZeSn-KSOdeHS9r0heI-lHtkcn2OH7hP0jQ/edit?usp=share_link"",""ลำปาง!"&amp;"J564"")+IMPORTRANGE(""https://docs.google.com/spreadsheets/d/1-uUXvimVhiU2U0bMN-xi2te0tS4X7DI2GLPnMjzl8cA/edit?usp=share_link"",""ลำพูน!J564"")+IMPORTRANGE(""https://docs.google.com/spreadsheets/d/17HrOaa5pBUI1onckFfumXB8xlg35qb2uBAFfF1D-Myo/edit?usp=shar"&amp;"e_link"",""สุโขทัย!J564"")+IMPORTRANGE(""https://docs.google.com/spreadsheets/d/1ubs5cl16eYL9gHbdHTJtmtYb9MGzHBs7CAphn8kNCgM/edit?usp=share_link"",""อุตรดิตถ์!J564"")+IMPORTRANGE(""https://docs.google.com/spreadsheets/d/1kII0BjS6CtVrBvI8IrytgPdxDrlyQDyigz"&amp;"MsohRtDMs/edit?usp=share_link"",""อุทัยธานี!J564"")
"),93777.96)</f>
        <v>93777.96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74"/>
      <c r="C565" s="574"/>
      <c r="D565" s="586"/>
      <c r="E565" s="586"/>
      <c r="F565" s="586"/>
      <c r="G565" s="175"/>
      <c r="H565" s="182" t="s">
        <v>34</v>
      </c>
      <c r="I565" s="162"/>
      <c r="J565" s="183">
        <f ca="1">IFERROR(__xludf.DUMMYFUNCTION("IMPORTRANGE(""https://docs.google.com/spreadsheets/d/1KxicF4apzSqm0-jIpmueT4kyZtE-Cwn5zskl7GD4loQ/edit?usp=share_link"",""กำแพงเพชร!J565"")+IMPORTRANGE(""https://docs.google.com/spreadsheets/d/1ZNYWeiFoFA1K1U4xKWqRX29MBvEyRHXORjo734Gnq_c/edit?usp=share_li"&amp;"nk"",""เชียงราย!J565"")
+IMPORTRANGE(""https://docs.google.com/spreadsheets/d/1Jgv0Y7YlHDtsiDawwp-uvifEJ8HVaSn0k2aGHG8-hwM/edit?usp=share_link"",""เชียงใหม่!J565"")+IMPORTRANGE(""https://docs.google.com/spreadsheets/d/1JWG2rZePOz9pe-f-ObA-yDr0VoOX2kSb0qIi"&amp;"x2mTUo8/edit?usp=share_link"",""ตาก!J565"")+IMPORTRANGE(""https://docs.google.com/spreadsheets/d/10nSRjK08hx8Y6HgSOQKNw81lyY46Zc7U_Cj72hBMp9U/edit?usp=share_link"",""นครสวรรค์!J565"")+IMPORTRANGE(""https://docs.google.com/spreadsheets/d/1gFVb7qd7amutrIxAA"&amp;"oM7lcy35hllxznovot8lyOfvDo/edit?usp=share_link"",""น่าน!J565"")+IMPORTRANGE(""https://docs.google.com/spreadsheets/d/1K0Aa9s-6EuHE5M0FG1F9aHLXRCOV917xvycTdLdct0w/edit?usp=share_link"",""พะเยา!J565"")+IMPORTRANGE(""https://docs.google.com/spreadsheets/d/1Y"&amp;"9LPKx95PyL5OKy09d-KbKJSuuEZCFdkhYjwC0XQjBA/edit?usp=share_link"",""พิจิตร!J565"")+IMPORTRANGE(""https://docs.google.com/spreadsheets/d/16OMuOwy2eVqZcYWOouQtTpa8X1L23h4660uVHc0C8os/edit?usp=share_link"",""พิษณุโลก!J565"")+IMPORTRANGE(""https://docs.google."&amp;"com/spreadsheets/d/1GfgTldLG6k77HXaMQzaafODklYuucJZQNs_GAPEfZyY/edit?usp=share_link"",""เพชรบูรณ์!J565"")+IMPORTRANGE(""https://docs.google.com/spreadsheets/d/1gvTMYAnm7v1yG1BKWFtr0DnaTsq59oW9dwWvFgq6hs0/edit?usp=share_link"",""แพร่!J565"")+IMPORTRANGE("""&amp;"https://docs.google.com/spreadsheets/d/1Wbcosgy-Xa1xXUArJSOenub6EfZHUSzc_bpJFWwQUf0/edit?usp=share_link"",""แม่ฮ่องสอน!J565"")+IMPORTRANGE(""https://docs.google.com/spreadsheets/d/1p7ERhsr0qZeSn-KSOdeHS9r0heI-lHtkcn2OH7hP0jQ/edit?usp=share_link"",""ลำปาง!"&amp;"J565"")+IMPORTRANGE(""https://docs.google.com/spreadsheets/d/1-uUXvimVhiU2U0bMN-xi2te0tS4X7DI2GLPnMjzl8cA/edit?usp=share_link"",""ลำพูน!J565"")+IMPORTRANGE(""https://docs.google.com/spreadsheets/d/17HrOaa5pBUI1onckFfumXB8xlg35qb2uBAFfF1D-Myo/edit?usp=shar"&amp;"e_link"",""สุโขทัย!J565"")+IMPORTRANGE(""https://docs.google.com/spreadsheets/d/1ubs5cl16eYL9gHbdHTJtmtYb9MGzHBs7CAphn8kNCgM/edit?usp=share_link"",""อุตรดิตถ์!J565"")+IMPORTRANGE(""https://docs.google.com/spreadsheets/d/1kII0BjS6CtVrBvI8IrytgPdxDrlyQDyigz"&amp;"MsohRtDMs/edit?usp=share_link"",""อุทัยธานี!J565"")
"),7945)</f>
        <v>7945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74"/>
      <c r="C566" s="574"/>
      <c r="D566" s="187" t="s">
        <v>238</v>
      </c>
      <c r="E566" s="586"/>
      <c r="F566" s="586"/>
      <c r="G566" s="175"/>
      <c r="H566" s="182" t="s">
        <v>46</v>
      </c>
      <c r="I566" s="162"/>
      <c r="J566" s="183">
        <f ca="1">IFERROR(__xludf.DUMMYFUNCTION("IMPORTRANGE(""https://docs.google.com/spreadsheets/d/1KxicF4apzSqm0-jIpmueT4kyZtE-Cwn5zskl7GD4loQ/edit?usp=share_link"",""กำแพงเพชร!J566"")+IMPORTRANGE(""https://docs.google.com/spreadsheets/d/1ZNYWeiFoFA1K1U4xKWqRX29MBvEyRHXORjo734Gnq_c/edit?usp=share_li"&amp;"nk"",""เชียงราย!J566"")
+IMPORTRANGE(""https://docs.google.com/spreadsheets/d/1Jgv0Y7YlHDtsiDawwp-uvifEJ8HVaSn0k2aGHG8-hwM/edit?usp=share_link"",""เชียงใหม่!J566"")+IMPORTRANGE(""https://docs.google.com/spreadsheets/d/1JWG2rZePOz9pe-f-ObA-yDr0VoOX2kSb0qIi"&amp;"x2mTUo8/edit?usp=share_link"",""ตาก!J566"")+IMPORTRANGE(""https://docs.google.com/spreadsheets/d/10nSRjK08hx8Y6HgSOQKNw81lyY46Zc7U_Cj72hBMp9U/edit?usp=share_link"",""นครสวรรค์!J566"")+IMPORTRANGE(""https://docs.google.com/spreadsheets/d/1gFVb7qd7amutrIxAA"&amp;"oM7lcy35hllxznovot8lyOfvDo/edit?usp=share_link"",""น่าน!J566"")+IMPORTRANGE(""https://docs.google.com/spreadsheets/d/1K0Aa9s-6EuHE5M0FG1F9aHLXRCOV917xvycTdLdct0w/edit?usp=share_link"",""พะเยา!J566"")+IMPORTRANGE(""https://docs.google.com/spreadsheets/d/1Y"&amp;"9LPKx95PyL5OKy09d-KbKJSuuEZCFdkhYjwC0XQjBA/edit?usp=share_link"",""พิจิตร!J566"")+IMPORTRANGE(""https://docs.google.com/spreadsheets/d/16OMuOwy2eVqZcYWOouQtTpa8X1L23h4660uVHc0C8os/edit?usp=share_link"",""พิษณุโลก!J566"")+IMPORTRANGE(""https://docs.google."&amp;"com/spreadsheets/d/1GfgTldLG6k77HXaMQzaafODklYuucJZQNs_GAPEfZyY/edit?usp=share_link"",""เพชรบูรณ์!J566"")+IMPORTRANGE(""https://docs.google.com/spreadsheets/d/1gvTMYAnm7v1yG1BKWFtr0DnaTsq59oW9dwWvFgq6hs0/edit?usp=share_link"",""แพร่!J566"")+IMPORTRANGE("""&amp;"https://docs.google.com/spreadsheets/d/1Wbcosgy-Xa1xXUArJSOenub6EfZHUSzc_bpJFWwQUf0/edit?usp=share_link"",""แม่ฮ่องสอน!J566"")+IMPORTRANGE(""https://docs.google.com/spreadsheets/d/1p7ERhsr0qZeSn-KSOdeHS9r0heI-lHtkcn2OH7hP0jQ/edit?usp=share_link"",""ลำปาง!"&amp;"J566"")+IMPORTRANGE(""https://docs.google.com/spreadsheets/d/1-uUXvimVhiU2U0bMN-xi2te0tS4X7DI2GLPnMjzl8cA/edit?usp=share_link"",""ลำพูน!J566"")+IMPORTRANGE(""https://docs.google.com/spreadsheets/d/17HrOaa5pBUI1onckFfumXB8xlg35qb2uBAFfF1D-Myo/edit?usp=shar"&amp;"e_link"",""สุโขทัย!J566"")+IMPORTRANGE(""https://docs.google.com/spreadsheets/d/1ubs5cl16eYL9gHbdHTJtmtYb9MGzHBs7CAphn8kNCgM/edit?usp=share_link"",""อุตรดิตถ์!J566"")+IMPORTRANGE(""https://docs.google.com/spreadsheets/d/1kII0BjS6CtVrBvI8IrytgPdxDrlyQDyigz"&amp;"MsohRtDMs/edit?usp=share_link"",""อุทัยธานี!J566"")
"),15695.56)</f>
        <v>15695.56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74"/>
      <c r="C567" s="574"/>
      <c r="D567" s="586"/>
      <c r="E567" s="586"/>
      <c r="F567" s="586"/>
      <c r="G567" s="175"/>
      <c r="H567" s="182" t="s">
        <v>34</v>
      </c>
      <c r="I567" s="162"/>
      <c r="J567" s="183">
        <f ca="1">IFERROR(__xludf.DUMMYFUNCTION("IMPORTRANGE(""https://docs.google.com/spreadsheets/d/1KxicF4apzSqm0-jIpmueT4kyZtE-Cwn5zskl7GD4loQ/edit?usp=share_link"",""กำแพงเพชร!J567"")+IMPORTRANGE(""https://docs.google.com/spreadsheets/d/1ZNYWeiFoFA1K1U4xKWqRX29MBvEyRHXORjo734Gnq_c/edit?usp=share_li"&amp;"nk"",""เชียงราย!J567"")
+IMPORTRANGE(""https://docs.google.com/spreadsheets/d/1Jgv0Y7YlHDtsiDawwp-uvifEJ8HVaSn0k2aGHG8-hwM/edit?usp=share_link"",""เชียงใหม่!J567"")+IMPORTRANGE(""https://docs.google.com/spreadsheets/d/1JWG2rZePOz9pe-f-ObA-yDr0VoOX2kSb0qIi"&amp;"x2mTUo8/edit?usp=share_link"",""ตาก!J567"")+IMPORTRANGE(""https://docs.google.com/spreadsheets/d/10nSRjK08hx8Y6HgSOQKNw81lyY46Zc7U_Cj72hBMp9U/edit?usp=share_link"",""นครสวรรค์!J567"")+IMPORTRANGE(""https://docs.google.com/spreadsheets/d/1gFVb7qd7amutrIxAA"&amp;"oM7lcy35hllxznovot8lyOfvDo/edit?usp=share_link"",""น่าน!J567"")+IMPORTRANGE(""https://docs.google.com/spreadsheets/d/1K0Aa9s-6EuHE5M0FG1F9aHLXRCOV917xvycTdLdct0w/edit?usp=share_link"",""พะเยา!J567"")+IMPORTRANGE(""https://docs.google.com/spreadsheets/d/1Y"&amp;"9LPKx95PyL5OKy09d-KbKJSuuEZCFdkhYjwC0XQjBA/edit?usp=share_link"",""พิจิตร!J567"")+IMPORTRANGE(""https://docs.google.com/spreadsheets/d/16OMuOwy2eVqZcYWOouQtTpa8X1L23h4660uVHc0C8os/edit?usp=share_link"",""พิษณุโลก!J567"")+IMPORTRANGE(""https://docs.google."&amp;"com/spreadsheets/d/1GfgTldLG6k77HXaMQzaafODklYuucJZQNs_GAPEfZyY/edit?usp=share_link"",""เพชรบูรณ์!J567"")+IMPORTRANGE(""https://docs.google.com/spreadsheets/d/1gvTMYAnm7v1yG1BKWFtr0DnaTsq59oW9dwWvFgq6hs0/edit?usp=share_link"",""แพร่!J567"")+IMPORTRANGE("""&amp;"https://docs.google.com/spreadsheets/d/1Wbcosgy-Xa1xXUArJSOenub6EfZHUSzc_bpJFWwQUf0/edit?usp=share_link"",""แม่ฮ่องสอน!J567"")+IMPORTRANGE(""https://docs.google.com/spreadsheets/d/1p7ERhsr0qZeSn-KSOdeHS9r0heI-lHtkcn2OH7hP0jQ/edit?usp=share_link"",""ลำปาง!"&amp;"J567"")+IMPORTRANGE(""https://docs.google.com/spreadsheets/d/1-uUXvimVhiU2U0bMN-xi2te0tS4X7DI2GLPnMjzl8cA/edit?usp=share_link"",""ลำพูน!J567"")+IMPORTRANGE(""https://docs.google.com/spreadsheets/d/17HrOaa5pBUI1onckFfumXB8xlg35qb2uBAFfF1D-Myo/edit?usp=shar"&amp;"e_link"",""สุโขทัย!J567"")+IMPORTRANGE(""https://docs.google.com/spreadsheets/d/1ubs5cl16eYL9gHbdHTJtmtYb9MGzHBs7CAphn8kNCgM/edit?usp=share_link"",""อุตรดิตถ์!J567"")+IMPORTRANGE(""https://docs.google.com/spreadsheets/d/1kII0BjS6CtVrBvI8IrytgPdxDrlyQDyigz"&amp;"MsohRtDMs/edit?usp=share_link"",""อุทัยธานี!J567"")
"),3696)</f>
        <v>3696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74"/>
      <c r="C568" s="589" t="s">
        <v>239</v>
      </c>
      <c r="D568" s="586"/>
      <c r="E568" s="586"/>
      <c r="F568" s="586"/>
      <c r="G568" s="175"/>
      <c r="H568" s="192" t="s">
        <v>46</v>
      </c>
      <c r="I568" s="193">
        <f ca="1">IFERROR(__xludf.DUMMYFUNCTION("IMPORTRANGE(""https://docs.google.com/spreadsheets/d/1KxicF4apzSqm0-jIpmueT4kyZtE-Cwn5zskl7GD4loQ/edit?usp=share_link"",""กำแพงเพชร!I568"")+IMPORTRANGE(""https://docs.google.com/spreadsheets/d/1ZNYWeiFoFA1K1U4xKWqRX29MBvEyRHXORjo734Gnq_c/edit?usp=share_li"&amp;"nk"",""เชียงราย!I568"")
+IMPORTRANGE(""https://docs.google.com/spreadsheets/d/1Jgv0Y7YlHDtsiDawwp-uvifEJ8HVaSn0k2aGHG8-hwM/edit?usp=share_link"",""เชียงใหม่!I568"")+IMPORTRANGE(""https://docs.google.com/spreadsheets/d/1JWG2rZePOz9pe-f-ObA-yDr0VoOX2kSb0qIi"&amp;"x2mTUo8/edit?usp=share_link"",""ตาก!I568"")+IMPORTRANGE(""https://docs.google.com/spreadsheets/d/10nSRjK08hx8Y6HgSOQKNw81lyY46Zc7U_Cj72hBMp9U/edit?usp=share_link"",""นครสวรรค์!I568"")+IMPORTRANGE(""https://docs.google.com/spreadsheets/d/1gFVb7qd7amutrIxAA"&amp;"oM7lcy35hllxznovot8lyOfvDo/edit?usp=share_link"",""น่าน!I568"")+IMPORTRANGE(""https://docs.google.com/spreadsheets/d/1K0Aa9s-6EuHE5M0FG1F9aHLXRCOV917xvycTdLdct0w/edit?usp=share_link"",""พะเยา!I568"")+IMPORTRANGE(""https://docs.google.com/spreadsheets/d/1Y"&amp;"9LPKx95PyL5OKy09d-KbKJSuuEZCFdkhYjwC0XQjBA/edit?usp=share_link"",""พิจิตร!I568"")+IMPORTRANGE(""https://docs.google.com/spreadsheets/d/16OMuOwy2eVqZcYWOouQtTpa8X1L23h4660uVHc0C8os/edit?usp=share_link"",""พิษณุโลก!I568"")+IMPORTRANGE(""https://docs.google."&amp;"com/spreadsheets/d/1GfgTldLG6k77HXaMQzaafODklYuucJZQNs_GAPEfZyY/edit?usp=share_link"",""เพชรบูรณ์!I568"")+IMPORTRANGE(""https://docs.google.com/spreadsheets/d/1gvTMYAnm7v1yG1BKWFtr0DnaTsq59oW9dwWvFgq6hs0/edit?usp=share_link"",""แพร่!I568"")+IMPORTRANGE("""&amp;"https://docs.google.com/spreadsheets/d/1Wbcosgy-Xa1xXUArJSOenub6EfZHUSzc_bpJFWwQUf0/edit?usp=share_link"",""แม่ฮ่องสอน!I568"")+IMPORTRANGE(""https://docs.google.com/spreadsheets/d/1p7ERhsr0qZeSn-KSOdeHS9r0heI-lHtkcn2OH7hP0jQ/edit?usp=share_link"",""ลำปาง!"&amp;"I568"")+IMPORTRANGE(""https://docs.google.com/spreadsheets/d/1-uUXvimVhiU2U0bMN-xi2te0tS4X7DI2GLPnMjzl8cA/edit?usp=share_link"",""ลำพูน!I568"")+IMPORTRANGE(""https://docs.google.com/spreadsheets/d/17HrOaa5pBUI1onckFfumXB8xlg35qb2uBAFfF1D-Myo/edit?usp=shar"&amp;"e_link"",""สุโขทัย!I568"")+IMPORTRANGE(""https://docs.google.com/spreadsheets/d/1ubs5cl16eYL9gHbdHTJtmtYb9MGzHBs7CAphn8kNCgM/edit?usp=share_link"",""อุตรดิตถ์!I568"")+IMPORTRANGE(""https://docs.google.com/spreadsheets/d/1kII0BjS6CtVrBvI8IrytgPdxDrlyQDyigz"&amp;"MsohRtDMs/edit?usp=share_link"",""อุทัยธานี!I568"")
"),789391)</f>
        <v>789391</v>
      </c>
      <c r="J568" s="194">
        <f t="shared" ref="J568:J569" ca="1" si="286">J570+J572+J574</f>
        <v>44023.529999999992</v>
      </c>
      <c r="K568" s="380">
        <f t="shared" ref="K568:K569" ca="1" si="287">IF(I568&gt;0,J568*100/I568,0)</f>
        <v>5.5768978871053747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74"/>
      <c r="C569" s="574"/>
      <c r="D569" s="574"/>
      <c r="E569" s="586"/>
      <c r="F569" s="586"/>
      <c r="G569" s="175"/>
      <c r="H569" s="192" t="s">
        <v>34</v>
      </c>
      <c r="I569" s="193">
        <f ca="1">IFERROR(__xludf.DUMMYFUNCTION("IMPORTRANGE(""https://docs.google.com/spreadsheets/d/1KxicF4apzSqm0-jIpmueT4kyZtE-Cwn5zskl7GD4loQ/edit?usp=share_link"",""กำแพงเพชร!I569"")+IMPORTRANGE(""https://docs.google.com/spreadsheets/d/1ZNYWeiFoFA1K1U4xKWqRX29MBvEyRHXORjo734Gnq_c/edit?usp=share_li"&amp;"nk"",""เชียงราย!I569"")
+IMPORTRANGE(""https://docs.google.com/spreadsheets/d/1Jgv0Y7YlHDtsiDawwp-uvifEJ8HVaSn0k2aGHG8-hwM/edit?usp=share_link"",""เชียงใหม่!I569"")+IMPORTRANGE(""https://docs.google.com/spreadsheets/d/1JWG2rZePOz9pe-f-ObA-yDr0VoOX2kSb0qIi"&amp;"x2mTUo8/edit?usp=share_link"",""ตาก!I569"")+IMPORTRANGE(""https://docs.google.com/spreadsheets/d/10nSRjK08hx8Y6HgSOQKNw81lyY46Zc7U_Cj72hBMp9U/edit?usp=share_link"",""นครสวรรค์!I569"")+IMPORTRANGE(""https://docs.google.com/spreadsheets/d/1gFVb7qd7amutrIxAA"&amp;"oM7lcy35hllxznovot8lyOfvDo/edit?usp=share_link"",""น่าน!I569"")+IMPORTRANGE(""https://docs.google.com/spreadsheets/d/1K0Aa9s-6EuHE5M0FG1F9aHLXRCOV917xvycTdLdct0w/edit?usp=share_link"",""พะเยา!I569"")+IMPORTRANGE(""https://docs.google.com/spreadsheets/d/1Y"&amp;"9LPKx95PyL5OKy09d-KbKJSuuEZCFdkhYjwC0XQjBA/edit?usp=share_link"",""พิจิตร!I569"")+IMPORTRANGE(""https://docs.google.com/spreadsheets/d/16OMuOwy2eVqZcYWOouQtTpa8X1L23h4660uVHc0C8os/edit?usp=share_link"",""พิษณุโลก!I569"")+IMPORTRANGE(""https://docs.google."&amp;"com/spreadsheets/d/1GfgTldLG6k77HXaMQzaafODklYuucJZQNs_GAPEfZyY/edit?usp=share_link"",""เพชรบูรณ์!I569"")+IMPORTRANGE(""https://docs.google.com/spreadsheets/d/1gvTMYAnm7v1yG1BKWFtr0DnaTsq59oW9dwWvFgq6hs0/edit?usp=share_link"",""แพร่!I569"")+IMPORTRANGE("""&amp;"https://docs.google.com/spreadsheets/d/1Wbcosgy-Xa1xXUArJSOenub6EfZHUSzc_bpJFWwQUf0/edit?usp=share_link"",""แม่ฮ่องสอน!I569"")+IMPORTRANGE(""https://docs.google.com/spreadsheets/d/1p7ERhsr0qZeSn-KSOdeHS9r0heI-lHtkcn2OH7hP0jQ/edit?usp=share_link"",""ลำปาง!"&amp;"I569"")+IMPORTRANGE(""https://docs.google.com/spreadsheets/d/1-uUXvimVhiU2U0bMN-xi2te0tS4X7DI2GLPnMjzl8cA/edit?usp=share_link"",""ลำพูน!I569"")+IMPORTRANGE(""https://docs.google.com/spreadsheets/d/17HrOaa5pBUI1onckFfumXB8xlg35qb2uBAFfF1D-Myo/edit?usp=shar"&amp;"e_link"",""สุโขทัย!I569"")+IMPORTRANGE(""https://docs.google.com/spreadsheets/d/1ubs5cl16eYL9gHbdHTJtmtYb9MGzHBs7CAphn8kNCgM/edit?usp=share_link"",""อุตรดิตถ์!I569"")+IMPORTRANGE(""https://docs.google.com/spreadsheets/d/1kII0BjS6CtVrBvI8IrytgPdxDrlyQDyigz"&amp;"MsohRtDMs/edit?usp=share_link"",""อุทัยธานี!I569"")
"),94109)</f>
        <v>94109</v>
      </c>
      <c r="J569" s="194">
        <f t="shared" ca="1" si="286"/>
        <v>3896</v>
      </c>
      <c r="K569" s="380">
        <f t="shared" ca="1" si="287"/>
        <v>4.1398803515072951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74"/>
      <c r="C570" s="574"/>
      <c r="D570" s="187" t="s">
        <v>240</v>
      </c>
      <c r="E570" s="574"/>
      <c r="F570" s="586"/>
      <c r="G570" s="175"/>
      <c r="H570" s="182" t="s">
        <v>46</v>
      </c>
      <c r="I570" s="162"/>
      <c r="J570" s="183">
        <f ca="1">IFERROR(__xludf.DUMMYFUNCTION("IMPORTRANGE(""https://docs.google.com/spreadsheets/d/1KxicF4apzSqm0-jIpmueT4kyZtE-Cwn5zskl7GD4loQ/edit?usp=share_link"",""กำแพงเพชร!J570"")+IMPORTRANGE(""https://docs.google.com/spreadsheets/d/1ZNYWeiFoFA1K1U4xKWqRX29MBvEyRHXORjo734Gnq_c/edit?usp=share_li"&amp;"nk"",""เชียงราย!J570"")
+IMPORTRANGE(""https://docs.google.com/spreadsheets/d/1Jgv0Y7YlHDtsiDawwp-uvifEJ8HVaSn0k2aGHG8-hwM/edit?usp=share_link"",""เชียงใหม่!J570"")+IMPORTRANGE(""https://docs.google.com/spreadsheets/d/1JWG2rZePOz9pe-f-ObA-yDr0VoOX2kSb0qIi"&amp;"x2mTUo8/edit?usp=share_link"",""ตาก!J570"")+IMPORTRANGE(""https://docs.google.com/spreadsheets/d/10nSRjK08hx8Y6HgSOQKNw81lyY46Zc7U_Cj72hBMp9U/edit?usp=share_link"",""นครสวรรค์!J570"")+IMPORTRANGE(""https://docs.google.com/spreadsheets/d/1gFVb7qd7amutrIxAA"&amp;"oM7lcy35hllxznovot8lyOfvDo/edit?usp=share_link"",""น่าน!J570"")+IMPORTRANGE(""https://docs.google.com/spreadsheets/d/1K0Aa9s-6EuHE5M0FG1F9aHLXRCOV917xvycTdLdct0w/edit?usp=share_link"",""พะเยา!J570"")+IMPORTRANGE(""https://docs.google.com/spreadsheets/d/1Y"&amp;"9LPKx95PyL5OKy09d-KbKJSuuEZCFdkhYjwC0XQjBA/edit?usp=share_link"",""พิจิตร!J570"")+IMPORTRANGE(""https://docs.google.com/spreadsheets/d/16OMuOwy2eVqZcYWOouQtTpa8X1L23h4660uVHc0C8os/edit?usp=share_link"",""พิษณุโลก!J570"")+IMPORTRANGE(""https://docs.google."&amp;"com/spreadsheets/d/1GfgTldLG6k77HXaMQzaafODklYuucJZQNs_GAPEfZyY/edit?usp=share_link"",""เพชรบูรณ์!J570"")+IMPORTRANGE(""https://docs.google.com/spreadsheets/d/1gvTMYAnm7v1yG1BKWFtr0DnaTsq59oW9dwWvFgq6hs0/edit?usp=share_link"",""แพร่!J570"")+IMPORTRANGE("""&amp;"https://docs.google.com/spreadsheets/d/1Wbcosgy-Xa1xXUArJSOenub6EfZHUSzc_bpJFWwQUf0/edit?usp=share_link"",""แม่ฮ่องสอน!J570"")+IMPORTRANGE(""https://docs.google.com/spreadsheets/d/1p7ERhsr0qZeSn-KSOdeHS9r0heI-lHtkcn2OH7hP0jQ/edit?usp=share_link"",""ลำปาง!"&amp;"J570"")+IMPORTRANGE(""https://docs.google.com/spreadsheets/d/1-uUXvimVhiU2U0bMN-xi2te0tS4X7DI2GLPnMjzl8cA/edit?usp=share_link"",""ลำพูน!J570"")+IMPORTRANGE(""https://docs.google.com/spreadsheets/d/17HrOaa5pBUI1onckFfumXB8xlg35qb2uBAFfF1D-Myo/edit?usp=shar"&amp;"e_link"",""สุโขทัย!J570"")+IMPORTRANGE(""https://docs.google.com/spreadsheets/d/1ubs5cl16eYL9gHbdHTJtmtYb9MGzHBs7CAphn8kNCgM/edit?usp=share_link"",""อุตรดิตถ์!J570"")+IMPORTRANGE(""https://docs.google.com/spreadsheets/d/1kII0BjS6CtVrBvI8IrytgPdxDrlyQDyigz"&amp;"MsohRtDMs/edit?usp=share_link"",""อุทัยธานี!J570"")
"),38353.42)</f>
        <v>38353.42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74"/>
      <c r="C571" s="574"/>
      <c r="D571" s="574"/>
      <c r="E571" s="586"/>
      <c r="F571" s="586"/>
      <c r="G571" s="175"/>
      <c r="H571" s="182" t="s">
        <v>34</v>
      </c>
      <c r="I571" s="162"/>
      <c r="J571" s="183">
        <f ca="1">IFERROR(__xludf.DUMMYFUNCTION("IMPORTRANGE(""https://docs.google.com/spreadsheets/d/1KxicF4apzSqm0-jIpmueT4kyZtE-Cwn5zskl7GD4loQ/edit?usp=share_link"",""กำแพงเพชร!J571"")+IMPORTRANGE(""https://docs.google.com/spreadsheets/d/1ZNYWeiFoFA1K1U4xKWqRX29MBvEyRHXORjo734Gnq_c/edit?usp=share_li"&amp;"nk"",""เชียงราย!J571"")
+IMPORTRANGE(""https://docs.google.com/spreadsheets/d/1Jgv0Y7YlHDtsiDawwp-uvifEJ8HVaSn0k2aGHG8-hwM/edit?usp=share_link"",""เชียงใหม่!J571"")+IMPORTRANGE(""https://docs.google.com/spreadsheets/d/1JWG2rZePOz9pe-f-ObA-yDr0VoOX2kSb0qIi"&amp;"x2mTUo8/edit?usp=share_link"",""ตาก!J571"")+IMPORTRANGE(""https://docs.google.com/spreadsheets/d/10nSRjK08hx8Y6HgSOQKNw81lyY46Zc7U_Cj72hBMp9U/edit?usp=share_link"",""นครสวรรค์!J571"")+IMPORTRANGE(""https://docs.google.com/spreadsheets/d/1gFVb7qd7amutrIxAA"&amp;"oM7lcy35hllxznovot8lyOfvDo/edit?usp=share_link"",""น่าน!J571"")+IMPORTRANGE(""https://docs.google.com/spreadsheets/d/1K0Aa9s-6EuHE5M0FG1F9aHLXRCOV917xvycTdLdct0w/edit?usp=share_link"",""พะเยา!J571"")+IMPORTRANGE(""https://docs.google.com/spreadsheets/d/1Y"&amp;"9LPKx95PyL5OKy09d-KbKJSuuEZCFdkhYjwC0XQjBA/edit?usp=share_link"",""พิจิตร!J571"")+IMPORTRANGE(""https://docs.google.com/spreadsheets/d/16OMuOwy2eVqZcYWOouQtTpa8X1L23h4660uVHc0C8os/edit?usp=share_link"",""พิษณุโลก!J571"")+IMPORTRANGE(""https://docs.google."&amp;"com/spreadsheets/d/1GfgTldLG6k77HXaMQzaafODklYuucJZQNs_GAPEfZyY/edit?usp=share_link"",""เพชรบูรณ์!J571"")+IMPORTRANGE(""https://docs.google.com/spreadsheets/d/1gvTMYAnm7v1yG1BKWFtr0DnaTsq59oW9dwWvFgq6hs0/edit?usp=share_link"",""แพร่!J571"")+IMPORTRANGE("""&amp;"https://docs.google.com/spreadsheets/d/1Wbcosgy-Xa1xXUArJSOenub6EfZHUSzc_bpJFWwQUf0/edit?usp=share_link"",""แม่ฮ่องสอน!J571"")+IMPORTRANGE(""https://docs.google.com/spreadsheets/d/1p7ERhsr0qZeSn-KSOdeHS9r0heI-lHtkcn2OH7hP0jQ/edit?usp=share_link"",""ลำปาง!"&amp;"J571"")+IMPORTRANGE(""https://docs.google.com/spreadsheets/d/1-uUXvimVhiU2U0bMN-xi2te0tS4X7DI2GLPnMjzl8cA/edit?usp=share_link"",""ลำพูน!J571"")+IMPORTRANGE(""https://docs.google.com/spreadsheets/d/17HrOaa5pBUI1onckFfumXB8xlg35qb2uBAFfF1D-Myo/edit?usp=shar"&amp;"e_link"",""สุโขทัย!J571"")+IMPORTRANGE(""https://docs.google.com/spreadsheets/d/1ubs5cl16eYL9gHbdHTJtmtYb9MGzHBs7CAphn8kNCgM/edit?usp=share_link"",""อุตรดิตถ์!J571"")+IMPORTRANGE(""https://docs.google.com/spreadsheets/d/1kII0BjS6CtVrBvI8IrytgPdxDrlyQDyigz"&amp;"MsohRtDMs/edit?usp=share_link"",""อุทัยธานี!J571"")
"),3601)</f>
        <v>3601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74"/>
      <c r="C572" s="574"/>
      <c r="D572" s="187" t="s">
        <v>241</v>
      </c>
      <c r="E572" s="586"/>
      <c r="F572" s="586"/>
      <c r="G572" s="175"/>
      <c r="H572" s="182" t="s">
        <v>46</v>
      </c>
      <c r="I572" s="162"/>
      <c r="J572" s="183">
        <f ca="1">IFERROR(__xludf.DUMMYFUNCTION("IMPORTRANGE(""https://docs.google.com/spreadsheets/d/1KxicF4apzSqm0-jIpmueT4kyZtE-Cwn5zskl7GD4loQ/edit?usp=share_link"",""กำแพงเพชร!J572"")+IMPORTRANGE(""https://docs.google.com/spreadsheets/d/1ZNYWeiFoFA1K1U4xKWqRX29MBvEyRHXORjo734Gnq_c/edit?usp=share_li"&amp;"nk"",""เชียงราย!J572"")
+IMPORTRANGE(""https://docs.google.com/spreadsheets/d/1Jgv0Y7YlHDtsiDawwp-uvifEJ8HVaSn0k2aGHG8-hwM/edit?usp=share_link"",""เชียงใหม่!J572"")+IMPORTRANGE(""https://docs.google.com/spreadsheets/d/1JWG2rZePOz9pe-f-ObA-yDr0VoOX2kSb0qIi"&amp;"x2mTUo8/edit?usp=share_link"",""ตาก!J572"")+IMPORTRANGE(""https://docs.google.com/spreadsheets/d/10nSRjK08hx8Y6HgSOQKNw81lyY46Zc7U_Cj72hBMp9U/edit?usp=share_link"",""นครสวรรค์!J572"")+IMPORTRANGE(""https://docs.google.com/spreadsheets/d/1gFVb7qd7amutrIxAA"&amp;"oM7lcy35hllxznovot8lyOfvDo/edit?usp=share_link"",""น่าน!J572"")+IMPORTRANGE(""https://docs.google.com/spreadsheets/d/1K0Aa9s-6EuHE5M0FG1F9aHLXRCOV917xvycTdLdct0w/edit?usp=share_link"",""พะเยา!J572"")+IMPORTRANGE(""https://docs.google.com/spreadsheets/d/1Y"&amp;"9LPKx95PyL5OKy09d-KbKJSuuEZCFdkhYjwC0XQjBA/edit?usp=share_link"",""พิจิตร!J572"")+IMPORTRANGE(""https://docs.google.com/spreadsheets/d/16OMuOwy2eVqZcYWOouQtTpa8X1L23h4660uVHc0C8os/edit?usp=share_link"",""พิษณุโลก!J572"")+IMPORTRANGE(""https://docs.google."&amp;"com/spreadsheets/d/1GfgTldLG6k77HXaMQzaafODklYuucJZQNs_GAPEfZyY/edit?usp=share_link"",""เพชรบูรณ์!J572"")+IMPORTRANGE(""https://docs.google.com/spreadsheets/d/1gvTMYAnm7v1yG1BKWFtr0DnaTsq59oW9dwWvFgq6hs0/edit?usp=share_link"",""แพร่!J572"")+IMPORTRANGE("""&amp;"https://docs.google.com/spreadsheets/d/1Wbcosgy-Xa1xXUArJSOenub6EfZHUSzc_bpJFWwQUf0/edit?usp=share_link"",""แม่ฮ่องสอน!J572"")+IMPORTRANGE(""https://docs.google.com/spreadsheets/d/1p7ERhsr0qZeSn-KSOdeHS9r0heI-lHtkcn2OH7hP0jQ/edit?usp=share_link"",""ลำปาง!"&amp;"J572"")+IMPORTRANGE(""https://docs.google.com/spreadsheets/d/1-uUXvimVhiU2U0bMN-xi2te0tS4X7DI2GLPnMjzl8cA/edit?usp=share_link"",""ลำพูน!J572"")+IMPORTRANGE(""https://docs.google.com/spreadsheets/d/17HrOaa5pBUI1onckFfumXB8xlg35qb2uBAFfF1D-Myo/edit?usp=shar"&amp;"e_link"",""สุโขทัย!J572"")+IMPORTRANGE(""https://docs.google.com/spreadsheets/d/1ubs5cl16eYL9gHbdHTJtmtYb9MGzHBs7CAphn8kNCgM/edit?usp=share_link"",""อุตรดิตถ์!J572"")+IMPORTRANGE(""https://docs.google.com/spreadsheets/d/1kII0BjS6CtVrBvI8IrytgPdxDrlyQDyigz"&amp;"MsohRtDMs/edit?usp=share_link"",""อุทัยธานี!J572"")
"),4528.59)</f>
        <v>4528.59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74"/>
      <c r="C573" s="574"/>
      <c r="D573" s="586"/>
      <c r="E573" s="586"/>
      <c r="F573" s="586"/>
      <c r="G573" s="175"/>
      <c r="H573" s="182" t="s">
        <v>34</v>
      </c>
      <c r="I573" s="162"/>
      <c r="J573" s="183">
        <f ca="1">IFERROR(__xludf.DUMMYFUNCTION("IMPORTRANGE(""https://docs.google.com/spreadsheets/d/1KxicF4apzSqm0-jIpmueT4kyZtE-Cwn5zskl7GD4loQ/edit?usp=share_link"",""กำแพงเพชร!J573"")+IMPORTRANGE(""https://docs.google.com/spreadsheets/d/1ZNYWeiFoFA1K1U4xKWqRX29MBvEyRHXORjo734Gnq_c/edit?usp=share_li"&amp;"nk"",""เชียงราย!J573"")
+IMPORTRANGE(""https://docs.google.com/spreadsheets/d/1Jgv0Y7YlHDtsiDawwp-uvifEJ8HVaSn0k2aGHG8-hwM/edit?usp=share_link"",""เชียงใหม่!J573"")+IMPORTRANGE(""https://docs.google.com/spreadsheets/d/1JWG2rZePOz9pe-f-ObA-yDr0VoOX2kSb0qIi"&amp;"x2mTUo8/edit?usp=share_link"",""ตาก!J573"")+IMPORTRANGE(""https://docs.google.com/spreadsheets/d/10nSRjK08hx8Y6HgSOQKNw81lyY46Zc7U_Cj72hBMp9U/edit?usp=share_link"",""นครสวรรค์!J573"")+IMPORTRANGE(""https://docs.google.com/spreadsheets/d/1gFVb7qd7amutrIxAA"&amp;"oM7lcy35hllxznovot8lyOfvDo/edit?usp=share_link"",""น่าน!J573"")+IMPORTRANGE(""https://docs.google.com/spreadsheets/d/1K0Aa9s-6EuHE5M0FG1F9aHLXRCOV917xvycTdLdct0w/edit?usp=share_link"",""พะเยา!J573"")+IMPORTRANGE(""https://docs.google.com/spreadsheets/d/1Y"&amp;"9LPKx95PyL5OKy09d-KbKJSuuEZCFdkhYjwC0XQjBA/edit?usp=share_link"",""พิจิตร!J573"")+IMPORTRANGE(""https://docs.google.com/spreadsheets/d/16OMuOwy2eVqZcYWOouQtTpa8X1L23h4660uVHc0C8os/edit?usp=share_link"",""พิษณุโลก!J573"")+IMPORTRANGE(""https://docs.google."&amp;"com/spreadsheets/d/1GfgTldLG6k77HXaMQzaafODklYuucJZQNs_GAPEfZyY/edit?usp=share_link"",""เพชรบูรณ์!J573"")+IMPORTRANGE(""https://docs.google.com/spreadsheets/d/1gvTMYAnm7v1yG1BKWFtr0DnaTsq59oW9dwWvFgq6hs0/edit?usp=share_link"",""แพร่!J573"")+IMPORTRANGE("""&amp;"https://docs.google.com/spreadsheets/d/1Wbcosgy-Xa1xXUArJSOenub6EfZHUSzc_bpJFWwQUf0/edit?usp=share_link"",""แม่ฮ่องสอน!J573"")+IMPORTRANGE(""https://docs.google.com/spreadsheets/d/1p7ERhsr0qZeSn-KSOdeHS9r0heI-lHtkcn2OH7hP0jQ/edit?usp=share_link"",""ลำปาง!"&amp;"J573"")+IMPORTRANGE(""https://docs.google.com/spreadsheets/d/1-uUXvimVhiU2U0bMN-xi2te0tS4X7DI2GLPnMjzl8cA/edit?usp=share_link"",""ลำพูน!J573"")+IMPORTRANGE(""https://docs.google.com/spreadsheets/d/17HrOaa5pBUI1onckFfumXB8xlg35qb2uBAFfF1D-Myo/edit?usp=shar"&amp;"e_link"",""สุโขทัย!J573"")+IMPORTRANGE(""https://docs.google.com/spreadsheets/d/1ubs5cl16eYL9gHbdHTJtmtYb9MGzHBs7CAphn8kNCgM/edit?usp=share_link"",""อุตรดิตถ์!J573"")+IMPORTRANGE(""https://docs.google.com/spreadsheets/d/1kII0BjS6CtVrBvI8IrytgPdxDrlyQDyigz"&amp;"MsohRtDMs/edit?usp=share_link"",""อุทัยธานี!J573"")
"),220)</f>
        <v>220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74"/>
      <c r="C574" s="574"/>
      <c r="D574" s="187" t="s">
        <v>242</v>
      </c>
      <c r="E574" s="586"/>
      <c r="F574" s="586"/>
      <c r="G574" s="175"/>
      <c r="H574" s="182" t="s">
        <v>46</v>
      </c>
      <c r="I574" s="162"/>
      <c r="J574" s="183">
        <f ca="1">IFERROR(__xludf.DUMMYFUNCTION("IMPORTRANGE(""https://docs.google.com/spreadsheets/d/1KxicF4apzSqm0-jIpmueT4kyZtE-Cwn5zskl7GD4loQ/edit?usp=share_link"",""กำแพงเพชร!J574"")+IMPORTRANGE(""https://docs.google.com/spreadsheets/d/1ZNYWeiFoFA1K1U4xKWqRX29MBvEyRHXORjo734Gnq_c/edit?usp=share_li"&amp;"nk"",""เชียงราย!J574"")
+IMPORTRANGE(""https://docs.google.com/spreadsheets/d/1Jgv0Y7YlHDtsiDawwp-uvifEJ8HVaSn0k2aGHG8-hwM/edit?usp=share_link"",""เชียงใหม่!J574"")+IMPORTRANGE(""https://docs.google.com/spreadsheets/d/1JWG2rZePOz9pe-f-ObA-yDr0VoOX2kSb0qIi"&amp;"x2mTUo8/edit?usp=share_link"",""ตาก!J574"")+IMPORTRANGE(""https://docs.google.com/spreadsheets/d/10nSRjK08hx8Y6HgSOQKNw81lyY46Zc7U_Cj72hBMp9U/edit?usp=share_link"",""นครสวรรค์!J574"")+IMPORTRANGE(""https://docs.google.com/spreadsheets/d/1gFVb7qd7amutrIxAA"&amp;"oM7lcy35hllxznovot8lyOfvDo/edit?usp=share_link"",""น่าน!J574"")+IMPORTRANGE(""https://docs.google.com/spreadsheets/d/1K0Aa9s-6EuHE5M0FG1F9aHLXRCOV917xvycTdLdct0w/edit?usp=share_link"",""พะเยา!J574"")+IMPORTRANGE(""https://docs.google.com/spreadsheets/d/1Y"&amp;"9LPKx95PyL5OKy09d-KbKJSuuEZCFdkhYjwC0XQjBA/edit?usp=share_link"",""พิจิตร!J574"")+IMPORTRANGE(""https://docs.google.com/spreadsheets/d/16OMuOwy2eVqZcYWOouQtTpa8X1L23h4660uVHc0C8os/edit?usp=share_link"",""พิษณุโลก!J574"")+IMPORTRANGE(""https://docs.google."&amp;"com/spreadsheets/d/1GfgTldLG6k77HXaMQzaafODklYuucJZQNs_GAPEfZyY/edit?usp=share_link"",""เพชรบูรณ์!J574"")+IMPORTRANGE(""https://docs.google.com/spreadsheets/d/1gvTMYAnm7v1yG1BKWFtr0DnaTsq59oW9dwWvFgq6hs0/edit?usp=share_link"",""แพร่!J574"")+IMPORTRANGE("""&amp;"https://docs.google.com/spreadsheets/d/1Wbcosgy-Xa1xXUArJSOenub6EfZHUSzc_bpJFWwQUf0/edit?usp=share_link"",""แม่ฮ่องสอน!J574"")+IMPORTRANGE(""https://docs.google.com/spreadsheets/d/1p7ERhsr0qZeSn-KSOdeHS9r0heI-lHtkcn2OH7hP0jQ/edit?usp=share_link"",""ลำปาง!"&amp;"J574"")+IMPORTRANGE(""https://docs.google.com/spreadsheets/d/1-uUXvimVhiU2U0bMN-xi2te0tS4X7DI2GLPnMjzl8cA/edit?usp=share_link"",""ลำพูน!J574"")+IMPORTRANGE(""https://docs.google.com/spreadsheets/d/17HrOaa5pBUI1onckFfumXB8xlg35qb2uBAFfF1D-Myo/edit?usp=shar"&amp;"e_link"",""สุโขทัย!J574"")+IMPORTRANGE(""https://docs.google.com/spreadsheets/d/1ubs5cl16eYL9gHbdHTJtmtYb9MGzHBs7CAphn8kNCgM/edit?usp=share_link"",""อุตรดิตถ์!J574"")+IMPORTRANGE(""https://docs.google.com/spreadsheets/d/1kII0BjS6CtVrBvI8IrytgPdxDrlyQDyigz"&amp;"MsohRtDMs/edit?usp=share_link"",""อุทัยธานี!J574"")
"),1141.52)</f>
        <v>1141.52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74"/>
      <c r="C575" s="574"/>
      <c r="D575" s="574"/>
      <c r="E575" s="586"/>
      <c r="F575" s="586"/>
      <c r="G575" s="175"/>
      <c r="H575" s="182" t="s">
        <v>34</v>
      </c>
      <c r="I575" s="162"/>
      <c r="J575" s="183">
        <f ca="1">IFERROR(__xludf.DUMMYFUNCTION("IMPORTRANGE(""https://docs.google.com/spreadsheets/d/1KxicF4apzSqm0-jIpmueT4kyZtE-Cwn5zskl7GD4loQ/edit?usp=share_link"",""กำแพงเพชร!J575"")+IMPORTRANGE(""https://docs.google.com/spreadsheets/d/1ZNYWeiFoFA1K1U4xKWqRX29MBvEyRHXORjo734Gnq_c/edit?usp=share_li"&amp;"nk"",""เชียงราย!J575"")
+IMPORTRANGE(""https://docs.google.com/spreadsheets/d/1Jgv0Y7YlHDtsiDawwp-uvifEJ8HVaSn0k2aGHG8-hwM/edit?usp=share_link"",""เชียงใหม่!J575"")+IMPORTRANGE(""https://docs.google.com/spreadsheets/d/1JWG2rZePOz9pe-f-ObA-yDr0VoOX2kSb0qIi"&amp;"x2mTUo8/edit?usp=share_link"",""ตาก!J575"")+IMPORTRANGE(""https://docs.google.com/spreadsheets/d/10nSRjK08hx8Y6HgSOQKNw81lyY46Zc7U_Cj72hBMp9U/edit?usp=share_link"",""นครสวรรค์!J575"")+IMPORTRANGE(""https://docs.google.com/spreadsheets/d/1gFVb7qd7amutrIxAA"&amp;"oM7lcy35hllxznovot8lyOfvDo/edit?usp=share_link"",""น่าน!J575"")+IMPORTRANGE(""https://docs.google.com/spreadsheets/d/1K0Aa9s-6EuHE5M0FG1F9aHLXRCOV917xvycTdLdct0w/edit?usp=share_link"",""พะเยา!J575"")+IMPORTRANGE(""https://docs.google.com/spreadsheets/d/1Y"&amp;"9LPKx95PyL5OKy09d-KbKJSuuEZCFdkhYjwC0XQjBA/edit?usp=share_link"",""พิจิตร!J575"")+IMPORTRANGE(""https://docs.google.com/spreadsheets/d/16OMuOwy2eVqZcYWOouQtTpa8X1L23h4660uVHc0C8os/edit?usp=share_link"",""พิษณุโลก!J575"")+IMPORTRANGE(""https://docs.google."&amp;"com/spreadsheets/d/1GfgTldLG6k77HXaMQzaafODklYuucJZQNs_GAPEfZyY/edit?usp=share_link"",""เพชรบูรณ์!J575"")+IMPORTRANGE(""https://docs.google.com/spreadsheets/d/1gvTMYAnm7v1yG1BKWFtr0DnaTsq59oW9dwWvFgq6hs0/edit?usp=share_link"",""แพร่!J575"")+IMPORTRANGE("""&amp;"https://docs.google.com/spreadsheets/d/1Wbcosgy-Xa1xXUArJSOenub6EfZHUSzc_bpJFWwQUf0/edit?usp=share_link"",""แม่ฮ่องสอน!J575"")+IMPORTRANGE(""https://docs.google.com/spreadsheets/d/1p7ERhsr0qZeSn-KSOdeHS9r0heI-lHtkcn2OH7hP0jQ/edit?usp=share_link"",""ลำปาง!"&amp;"J575"")+IMPORTRANGE(""https://docs.google.com/spreadsheets/d/1-uUXvimVhiU2U0bMN-xi2te0tS4X7DI2GLPnMjzl8cA/edit?usp=share_link"",""ลำพูน!J575"")+IMPORTRANGE(""https://docs.google.com/spreadsheets/d/17HrOaa5pBUI1onckFfumXB8xlg35qb2uBAFfF1D-Myo/edit?usp=shar"&amp;"e_link"",""สุโขทัย!J575"")+IMPORTRANGE(""https://docs.google.com/spreadsheets/d/1ubs5cl16eYL9gHbdHTJtmtYb9MGzHBs7CAphn8kNCgM/edit?usp=share_link"",""อุตรดิตถ์!J575"")+IMPORTRANGE(""https://docs.google.com/spreadsheets/d/1kII0BjS6CtVrBvI8IrytgPdxDrlyQDyigz"&amp;"MsohRtDMs/edit?usp=share_link"",""อุทัยธานี!J575"")
"),75)</f>
        <v>75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74"/>
      <c r="C576" s="589" t="s">
        <v>243</v>
      </c>
      <c r="D576" s="574"/>
      <c r="E576" s="574"/>
      <c r="F576" s="586"/>
      <c r="G576" s="175"/>
      <c r="H576" s="192" t="s">
        <v>46</v>
      </c>
      <c r="I576" s="193">
        <f ca="1">IFERROR(__xludf.DUMMYFUNCTION("IMPORTRANGE(""https://docs.google.com/spreadsheets/d/1KxicF4apzSqm0-jIpmueT4kyZtE-Cwn5zskl7GD4loQ/edit?usp=share_link"",""กำแพงเพชร!I576"")+IMPORTRANGE(""https://docs.google.com/spreadsheets/d/1ZNYWeiFoFA1K1U4xKWqRX29MBvEyRHXORjo734Gnq_c/edit?usp=share_li"&amp;"nk"",""เชียงราย!I576"")
+IMPORTRANGE(""https://docs.google.com/spreadsheets/d/1Jgv0Y7YlHDtsiDawwp-uvifEJ8HVaSn0k2aGHG8-hwM/edit?usp=share_link"",""เชียงใหม่!I576"")+IMPORTRANGE(""https://docs.google.com/spreadsheets/d/1JWG2rZePOz9pe-f-ObA-yDr0VoOX2kSb0qIi"&amp;"x2mTUo8/edit?usp=share_link"",""ตาก!I576"")+IMPORTRANGE(""https://docs.google.com/spreadsheets/d/10nSRjK08hx8Y6HgSOQKNw81lyY46Zc7U_Cj72hBMp9U/edit?usp=share_link"",""นครสวรรค์!I576"")+IMPORTRANGE(""https://docs.google.com/spreadsheets/d/1gFVb7qd7amutrIxAA"&amp;"oM7lcy35hllxznovot8lyOfvDo/edit?usp=share_link"",""น่าน!I576"")+IMPORTRANGE(""https://docs.google.com/spreadsheets/d/1K0Aa9s-6EuHE5M0FG1F9aHLXRCOV917xvycTdLdct0w/edit?usp=share_link"",""พะเยา!I576"")+IMPORTRANGE(""https://docs.google.com/spreadsheets/d/1Y"&amp;"9LPKx95PyL5OKy09d-KbKJSuuEZCFdkhYjwC0XQjBA/edit?usp=share_link"",""พิจิตร!I576"")+IMPORTRANGE(""https://docs.google.com/spreadsheets/d/16OMuOwy2eVqZcYWOouQtTpa8X1L23h4660uVHc0C8os/edit?usp=share_link"",""พิษณุโลก!I576"")+IMPORTRANGE(""https://docs.google."&amp;"com/spreadsheets/d/1GfgTldLG6k77HXaMQzaafODklYuucJZQNs_GAPEfZyY/edit?usp=share_link"",""เพชรบูรณ์!I576"")+IMPORTRANGE(""https://docs.google.com/spreadsheets/d/1gvTMYAnm7v1yG1BKWFtr0DnaTsq59oW9dwWvFgq6hs0/edit?usp=share_link"",""แพร่!I576"")+IMPORTRANGE("""&amp;"https://docs.google.com/spreadsheets/d/1Wbcosgy-Xa1xXUArJSOenub6EfZHUSzc_bpJFWwQUf0/edit?usp=share_link"",""แม่ฮ่องสอน!I576"")+IMPORTRANGE(""https://docs.google.com/spreadsheets/d/1p7ERhsr0qZeSn-KSOdeHS9r0heI-lHtkcn2OH7hP0jQ/edit?usp=share_link"",""ลำปาง!"&amp;"I576"")+IMPORTRANGE(""https://docs.google.com/spreadsheets/d/1-uUXvimVhiU2U0bMN-xi2te0tS4X7DI2GLPnMjzl8cA/edit?usp=share_link"",""ลำพูน!I576"")+IMPORTRANGE(""https://docs.google.com/spreadsheets/d/17HrOaa5pBUI1onckFfumXB8xlg35qb2uBAFfF1D-Myo/edit?usp=shar"&amp;"e_link"",""สุโขทัย!I576"")+IMPORTRANGE(""https://docs.google.com/spreadsheets/d/1ubs5cl16eYL9gHbdHTJtmtYb9MGzHBs7CAphn8kNCgM/edit?usp=share_link"",""อุตรดิตถ์!I576"")+IMPORTRANGE(""https://docs.google.com/spreadsheets/d/1kII0BjS6CtVrBvI8IrytgPdxDrlyQDyigz"&amp;"MsohRtDMs/edit?usp=share_link"",""อุทัยธานี!I576"")
"),789391)</f>
        <v>789391</v>
      </c>
      <c r="J576" s="194">
        <f t="shared" ref="J576:J577" ca="1" si="288">J578+J580+J582+J588+J590</f>
        <v>0</v>
      </c>
      <c r="K576" s="380">
        <f t="shared" ref="K576:K577" ca="1" si="289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74"/>
      <c r="C577" s="574"/>
      <c r="D577" s="574"/>
      <c r="E577" s="586"/>
      <c r="F577" s="586"/>
      <c r="G577" s="175"/>
      <c r="H577" s="192" t="s">
        <v>34</v>
      </c>
      <c r="I577" s="193">
        <f ca="1">IFERROR(__xludf.DUMMYFUNCTION("IMPORTRANGE(""https://docs.google.com/spreadsheets/d/1KxicF4apzSqm0-jIpmueT4kyZtE-Cwn5zskl7GD4loQ/edit?usp=share_link"",""กำแพงเพชร!I577"")+IMPORTRANGE(""https://docs.google.com/spreadsheets/d/1ZNYWeiFoFA1K1U4xKWqRX29MBvEyRHXORjo734Gnq_c/edit?usp=share_li"&amp;"nk"",""เชียงราย!I577"")
+IMPORTRANGE(""https://docs.google.com/spreadsheets/d/1Jgv0Y7YlHDtsiDawwp-uvifEJ8HVaSn0k2aGHG8-hwM/edit?usp=share_link"",""เชียงใหม่!I577"")+IMPORTRANGE(""https://docs.google.com/spreadsheets/d/1JWG2rZePOz9pe-f-ObA-yDr0VoOX2kSb0qIi"&amp;"x2mTUo8/edit?usp=share_link"",""ตาก!I577"")+IMPORTRANGE(""https://docs.google.com/spreadsheets/d/10nSRjK08hx8Y6HgSOQKNw81lyY46Zc7U_Cj72hBMp9U/edit?usp=share_link"",""นครสวรรค์!I577"")+IMPORTRANGE(""https://docs.google.com/spreadsheets/d/1gFVb7qd7amutrIxAA"&amp;"oM7lcy35hllxznovot8lyOfvDo/edit?usp=share_link"",""น่าน!I577"")+IMPORTRANGE(""https://docs.google.com/spreadsheets/d/1K0Aa9s-6EuHE5M0FG1F9aHLXRCOV917xvycTdLdct0w/edit?usp=share_link"",""พะเยา!I577"")+IMPORTRANGE(""https://docs.google.com/spreadsheets/d/1Y"&amp;"9LPKx95PyL5OKy09d-KbKJSuuEZCFdkhYjwC0XQjBA/edit?usp=share_link"",""พิจิตร!I577"")+IMPORTRANGE(""https://docs.google.com/spreadsheets/d/16OMuOwy2eVqZcYWOouQtTpa8X1L23h4660uVHc0C8os/edit?usp=share_link"",""พิษณุโลก!I577"")+IMPORTRANGE(""https://docs.google."&amp;"com/spreadsheets/d/1GfgTldLG6k77HXaMQzaafODklYuucJZQNs_GAPEfZyY/edit?usp=share_link"",""เพชรบูรณ์!I577"")+IMPORTRANGE(""https://docs.google.com/spreadsheets/d/1gvTMYAnm7v1yG1BKWFtr0DnaTsq59oW9dwWvFgq6hs0/edit?usp=share_link"",""แพร่!I577"")+IMPORTRANGE("""&amp;"https://docs.google.com/spreadsheets/d/1Wbcosgy-Xa1xXUArJSOenub6EfZHUSzc_bpJFWwQUf0/edit?usp=share_link"",""แม่ฮ่องสอน!I577"")+IMPORTRANGE(""https://docs.google.com/spreadsheets/d/1p7ERhsr0qZeSn-KSOdeHS9r0heI-lHtkcn2OH7hP0jQ/edit?usp=share_link"",""ลำปาง!"&amp;"I577"")+IMPORTRANGE(""https://docs.google.com/spreadsheets/d/1-uUXvimVhiU2U0bMN-xi2te0tS4X7DI2GLPnMjzl8cA/edit?usp=share_link"",""ลำพูน!I577"")+IMPORTRANGE(""https://docs.google.com/spreadsheets/d/17HrOaa5pBUI1onckFfumXB8xlg35qb2uBAFfF1D-Myo/edit?usp=shar"&amp;"e_link"",""สุโขทัย!I577"")+IMPORTRANGE(""https://docs.google.com/spreadsheets/d/1ubs5cl16eYL9gHbdHTJtmtYb9MGzHBs7CAphn8kNCgM/edit?usp=share_link"",""อุตรดิตถ์!I577"")+IMPORTRANGE(""https://docs.google.com/spreadsheets/d/1kII0BjS6CtVrBvI8IrytgPdxDrlyQDyigz"&amp;"MsohRtDMs/edit?usp=share_link"",""อุทัยธานี!I577"")
"),94109)</f>
        <v>94109</v>
      </c>
      <c r="J577" s="194">
        <f t="shared" ca="1" si="288"/>
        <v>0</v>
      </c>
      <c r="K577" s="380">
        <f t="shared" ca="1" si="289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74"/>
      <c r="C578" s="574"/>
      <c r="D578" s="187" t="s">
        <v>244</v>
      </c>
      <c r="E578" s="586"/>
      <c r="F578" s="586"/>
      <c r="G578" s="175"/>
      <c r="H578" s="182" t="s">
        <v>46</v>
      </c>
      <c r="I578" s="162"/>
      <c r="J578" s="183">
        <f ca="1">IFERROR(__xludf.DUMMYFUNCTION("IMPORTRANGE(""https://docs.google.com/spreadsheets/d/1KxicF4apzSqm0-jIpmueT4kyZtE-Cwn5zskl7GD4loQ/edit?usp=share_link"",""กำแพงเพชร!J578"")+IMPORTRANGE(""https://docs.google.com/spreadsheets/d/1ZNYWeiFoFA1K1U4xKWqRX29MBvEyRHXORjo734Gnq_c/edit?usp=share_li"&amp;"nk"",""เชียงราย!J578"")
+IMPORTRANGE(""https://docs.google.com/spreadsheets/d/1Jgv0Y7YlHDtsiDawwp-uvifEJ8HVaSn0k2aGHG8-hwM/edit?usp=share_link"",""เชียงใหม่!J578"")+IMPORTRANGE(""https://docs.google.com/spreadsheets/d/1JWG2rZePOz9pe-f-ObA-yDr0VoOX2kSb0qIi"&amp;"x2mTUo8/edit?usp=share_link"",""ตาก!J578"")+IMPORTRANGE(""https://docs.google.com/spreadsheets/d/10nSRjK08hx8Y6HgSOQKNw81lyY46Zc7U_Cj72hBMp9U/edit?usp=share_link"",""นครสวรรค์!J578"")+IMPORTRANGE(""https://docs.google.com/spreadsheets/d/1gFVb7qd7amutrIxAA"&amp;"oM7lcy35hllxznovot8lyOfvDo/edit?usp=share_link"",""น่าน!J578"")+IMPORTRANGE(""https://docs.google.com/spreadsheets/d/1K0Aa9s-6EuHE5M0FG1F9aHLXRCOV917xvycTdLdct0w/edit?usp=share_link"",""พะเยา!J578"")+IMPORTRANGE(""https://docs.google.com/spreadsheets/d/1Y"&amp;"9LPKx95PyL5OKy09d-KbKJSuuEZCFdkhYjwC0XQjBA/edit?usp=share_link"",""พิจิตร!J578"")+IMPORTRANGE(""https://docs.google.com/spreadsheets/d/16OMuOwy2eVqZcYWOouQtTpa8X1L23h4660uVHc0C8os/edit?usp=share_link"",""พิษณุโลก!J578"")+IMPORTRANGE(""https://docs.google."&amp;"com/spreadsheets/d/1GfgTldLG6k77HXaMQzaafODklYuucJZQNs_GAPEfZyY/edit?usp=share_link"",""เพชรบูรณ์!J578"")+IMPORTRANGE(""https://docs.google.com/spreadsheets/d/1gvTMYAnm7v1yG1BKWFtr0DnaTsq59oW9dwWvFgq6hs0/edit?usp=share_link"",""แพร่!J578"")+IMPORTRANGE("""&amp;"https://docs.google.com/spreadsheets/d/1Wbcosgy-Xa1xXUArJSOenub6EfZHUSzc_bpJFWwQUf0/edit?usp=share_link"",""แม่ฮ่องสอน!J578"")+IMPORTRANGE(""https://docs.google.com/spreadsheets/d/1p7ERhsr0qZeSn-KSOdeHS9r0heI-lHtkcn2OH7hP0jQ/edit?usp=share_link"",""ลำปาง!"&amp;"J578"")+IMPORTRANGE(""https://docs.google.com/spreadsheets/d/1-uUXvimVhiU2U0bMN-xi2te0tS4X7DI2GLPnMjzl8cA/edit?usp=share_link"",""ลำพูน!J578"")+IMPORTRANGE(""https://docs.google.com/spreadsheets/d/17HrOaa5pBUI1onckFfumXB8xlg35qb2uBAFfF1D-Myo/edit?usp=shar"&amp;"e_link"",""สุโขทัย!J578"")+IMPORTRANGE(""https://docs.google.com/spreadsheets/d/1ubs5cl16eYL9gHbdHTJtmtYb9MGzHBs7CAphn8kNCgM/edit?usp=share_link"",""อุตรดิตถ์!J578"")+IMPORTRANGE(""https://docs.google.com/spreadsheets/d/1kII0BjS6CtVrBvI8IrytgPdxDrlyQDyigz"&amp;"MsohRtDMs/edit?usp=share_link"",""อุทัยธานี!J578"")
"),0)</f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74"/>
      <c r="C579" s="574"/>
      <c r="D579" s="574"/>
      <c r="E579" s="586"/>
      <c r="F579" s="586"/>
      <c r="G579" s="175"/>
      <c r="H579" s="182" t="s">
        <v>34</v>
      </c>
      <c r="I579" s="162"/>
      <c r="J579" s="183">
        <f ca="1">IFERROR(__xludf.DUMMYFUNCTION("IMPORTRANGE(""https://docs.google.com/spreadsheets/d/1KxicF4apzSqm0-jIpmueT4kyZtE-Cwn5zskl7GD4loQ/edit?usp=share_link"",""กำแพงเพชร!J579"")+IMPORTRANGE(""https://docs.google.com/spreadsheets/d/1ZNYWeiFoFA1K1U4xKWqRX29MBvEyRHXORjo734Gnq_c/edit?usp=share_li"&amp;"nk"",""เชียงราย!J579"")
+IMPORTRANGE(""https://docs.google.com/spreadsheets/d/1Jgv0Y7YlHDtsiDawwp-uvifEJ8HVaSn0k2aGHG8-hwM/edit?usp=share_link"",""เชียงใหม่!J579"")+IMPORTRANGE(""https://docs.google.com/spreadsheets/d/1JWG2rZePOz9pe-f-ObA-yDr0VoOX2kSb0qIi"&amp;"x2mTUo8/edit?usp=share_link"",""ตาก!J579"")+IMPORTRANGE(""https://docs.google.com/spreadsheets/d/10nSRjK08hx8Y6HgSOQKNw81lyY46Zc7U_Cj72hBMp9U/edit?usp=share_link"",""นครสวรรค์!J579"")+IMPORTRANGE(""https://docs.google.com/spreadsheets/d/1gFVb7qd7amutrIxAA"&amp;"oM7lcy35hllxznovot8lyOfvDo/edit?usp=share_link"",""น่าน!J579"")+IMPORTRANGE(""https://docs.google.com/spreadsheets/d/1K0Aa9s-6EuHE5M0FG1F9aHLXRCOV917xvycTdLdct0w/edit?usp=share_link"",""พะเยา!J579"")+IMPORTRANGE(""https://docs.google.com/spreadsheets/d/1Y"&amp;"9LPKx95PyL5OKy09d-KbKJSuuEZCFdkhYjwC0XQjBA/edit?usp=share_link"",""พิจิตร!J579"")+IMPORTRANGE(""https://docs.google.com/spreadsheets/d/16OMuOwy2eVqZcYWOouQtTpa8X1L23h4660uVHc0C8os/edit?usp=share_link"",""พิษณุโลก!J579"")+IMPORTRANGE(""https://docs.google."&amp;"com/spreadsheets/d/1GfgTldLG6k77HXaMQzaafODklYuucJZQNs_GAPEfZyY/edit?usp=share_link"",""เพชรบูรณ์!J579"")+IMPORTRANGE(""https://docs.google.com/spreadsheets/d/1gvTMYAnm7v1yG1BKWFtr0DnaTsq59oW9dwWvFgq6hs0/edit?usp=share_link"",""แพร่!J579"")+IMPORTRANGE("""&amp;"https://docs.google.com/spreadsheets/d/1Wbcosgy-Xa1xXUArJSOenub6EfZHUSzc_bpJFWwQUf0/edit?usp=share_link"",""แม่ฮ่องสอน!J579"")+IMPORTRANGE(""https://docs.google.com/spreadsheets/d/1p7ERhsr0qZeSn-KSOdeHS9r0heI-lHtkcn2OH7hP0jQ/edit?usp=share_link"",""ลำปาง!"&amp;"J579"")+IMPORTRANGE(""https://docs.google.com/spreadsheets/d/1-uUXvimVhiU2U0bMN-xi2te0tS4X7DI2GLPnMjzl8cA/edit?usp=share_link"",""ลำพูน!J579"")+IMPORTRANGE(""https://docs.google.com/spreadsheets/d/17HrOaa5pBUI1onckFfumXB8xlg35qb2uBAFfF1D-Myo/edit?usp=shar"&amp;"e_link"",""สุโขทัย!J579"")+IMPORTRANGE(""https://docs.google.com/spreadsheets/d/1ubs5cl16eYL9gHbdHTJtmtYb9MGzHBs7CAphn8kNCgM/edit?usp=share_link"",""อุตรดิตถ์!J579"")+IMPORTRANGE(""https://docs.google.com/spreadsheets/d/1kII0BjS6CtVrBvI8IrytgPdxDrlyQDyigz"&amp;"MsohRtDMs/edit?usp=share_link"",""อุทัยธานี!J579"")
"),0)</f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74"/>
      <c r="C580" s="574"/>
      <c r="D580" s="187" t="s">
        <v>245</v>
      </c>
      <c r="E580" s="586"/>
      <c r="F580" s="586"/>
      <c r="G580" s="175"/>
      <c r="H580" s="182" t="s">
        <v>46</v>
      </c>
      <c r="I580" s="162"/>
      <c r="J580" s="183">
        <f ca="1">IFERROR(__xludf.DUMMYFUNCTION("IMPORTRANGE(""https://docs.google.com/spreadsheets/d/1KxicF4apzSqm0-jIpmueT4kyZtE-Cwn5zskl7GD4loQ/edit?usp=share_link"",""กำแพงเพชร!J580"")+IMPORTRANGE(""https://docs.google.com/spreadsheets/d/1ZNYWeiFoFA1K1U4xKWqRX29MBvEyRHXORjo734Gnq_c/edit?usp=share_li"&amp;"nk"",""เชียงราย!J580"")
+IMPORTRANGE(""https://docs.google.com/spreadsheets/d/1Jgv0Y7YlHDtsiDawwp-uvifEJ8HVaSn0k2aGHG8-hwM/edit?usp=share_link"",""เชียงใหม่!J580"")+IMPORTRANGE(""https://docs.google.com/spreadsheets/d/1JWG2rZePOz9pe-f-ObA-yDr0VoOX2kSb0qIi"&amp;"x2mTUo8/edit?usp=share_link"",""ตาก!J580"")+IMPORTRANGE(""https://docs.google.com/spreadsheets/d/10nSRjK08hx8Y6HgSOQKNw81lyY46Zc7U_Cj72hBMp9U/edit?usp=share_link"",""นครสวรรค์!J580"")+IMPORTRANGE(""https://docs.google.com/spreadsheets/d/1gFVb7qd7amutrIxAA"&amp;"oM7lcy35hllxznovot8lyOfvDo/edit?usp=share_link"",""น่าน!J580"")+IMPORTRANGE(""https://docs.google.com/spreadsheets/d/1K0Aa9s-6EuHE5M0FG1F9aHLXRCOV917xvycTdLdct0w/edit?usp=share_link"",""พะเยา!J580"")+IMPORTRANGE(""https://docs.google.com/spreadsheets/d/1Y"&amp;"9LPKx95PyL5OKy09d-KbKJSuuEZCFdkhYjwC0XQjBA/edit?usp=share_link"",""พิจิตร!J580"")+IMPORTRANGE(""https://docs.google.com/spreadsheets/d/16OMuOwy2eVqZcYWOouQtTpa8X1L23h4660uVHc0C8os/edit?usp=share_link"",""พิษณุโลก!J580"")+IMPORTRANGE(""https://docs.google."&amp;"com/spreadsheets/d/1GfgTldLG6k77HXaMQzaafODklYuucJZQNs_GAPEfZyY/edit?usp=share_link"",""เพชรบูรณ์!J580"")+IMPORTRANGE(""https://docs.google.com/spreadsheets/d/1gvTMYAnm7v1yG1BKWFtr0DnaTsq59oW9dwWvFgq6hs0/edit?usp=share_link"",""แพร่!J580"")+IMPORTRANGE("""&amp;"https://docs.google.com/spreadsheets/d/1Wbcosgy-Xa1xXUArJSOenub6EfZHUSzc_bpJFWwQUf0/edit?usp=share_link"",""แม่ฮ่องสอน!J580"")+IMPORTRANGE(""https://docs.google.com/spreadsheets/d/1p7ERhsr0qZeSn-KSOdeHS9r0heI-lHtkcn2OH7hP0jQ/edit?usp=share_link"",""ลำปาง!"&amp;"J580"")+IMPORTRANGE(""https://docs.google.com/spreadsheets/d/1-uUXvimVhiU2U0bMN-xi2te0tS4X7DI2GLPnMjzl8cA/edit?usp=share_link"",""ลำพูน!J580"")+IMPORTRANGE(""https://docs.google.com/spreadsheets/d/17HrOaa5pBUI1onckFfumXB8xlg35qb2uBAFfF1D-Myo/edit?usp=shar"&amp;"e_link"",""สุโขทัย!J580"")+IMPORTRANGE(""https://docs.google.com/spreadsheets/d/1ubs5cl16eYL9gHbdHTJtmtYb9MGzHBs7CAphn8kNCgM/edit?usp=share_link"",""อุตรดิตถ์!J580"")+IMPORTRANGE(""https://docs.google.com/spreadsheets/d/1kII0BjS6CtVrBvI8IrytgPdxDrlyQDyigz"&amp;"MsohRtDMs/edit?usp=share_link"",""อุทัยธานี!J580"")
"),0)</f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74"/>
      <c r="C581" s="574"/>
      <c r="D581" s="574"/>
      <c r="E581" s="586"/>
      <c r="F581" s="586"/>
      <c r="G581" s="175"/>
      <c r="H581" s="182" t="s">
        <v>34</v>
      </c>
      <c r="I581" s="162"/>
      <c r="J581" s="183">
        <f ca="1">IFERROR(__xludf.DUMMYFUNCTION("IMPORTRANGE(""https://docs.google.com/spreadsheets/d/1KxicF4apzSqm0-jIpmueT4kyZtE-Cwn5zskl7GD4loQ/edit?usp=share_link"",""กำแพงเพชร!J581"")+IMPORTRANGE(""https://docs.google.com/spreadsheets/d/1ZNYWeiFoFA1K1U4xKWqRX29MBvEyRHXORjo734Gnq_c/edit?usp=share_li"&amp;"nk"",""เชียงราย!J581"")
+IMPORTRANGE(""https://docs.google.com/spreadsheets/d/1Jgv0Y7YlHDtsiDawwp-uvifEJ8HVaSn0k2aGHG8-hwM/edit?usp=share_link"",""เชียงใหม่!J581"")+IMPORTRANGE(""https://docs.google.com/spreadsheets/d/1JWG2rZePOz9pe-f-ObA-yDr0VoOX2kSb0qIi"&amp;"x2mTUo8/edit?usp=share_link"",""ตาก!J581"")+IMPORTRANGE(""https://docs.google.com/spreadsheets/d/10nSRjK08hx8Y6HgSOQKNw81lyY46Zc7U_Cj72hBMp9U/edit?usp=share_link"",""นครสวรรค์!J581"")+IMPORTRANGE(""https://docs.google.com/spreadsheets/d/1gFVb7qd7amutrIxAA"&amp;"oM7lcy35hllxznovot8lyOfvDo/edit?usp=share_link"",""น่าน!J581"")+IMPORTRANGE(""https://docs.google.com/spreadsheets/d/1K0Aa9s-6EuHE5M0FG1F9aHLXRCOV917xvycTdLdct0w/edit?usp=share_link"",""พะเยา!J581"")+IMPORTRANGE(""https://docs.google.com/spreadsheets/d/1Y"&amp;"9LPKx95PyL5OKy09d-KbKJSuuEZCFdkhYjwC0XQjBA/edit?usp=share_link"",""พิจิตร!J581"")+IMPORTRANGE(""https://docs.google.com/spreadsheets/d/16OMuOwy2eVqZcYWOouQtTpa8X1L23h4660uVHc0C8os/edit?usp=share_link"",""พิษณุโลก!J581"")+IMPORTRANGE(""https://docs.google."&amp;"com/spreadsheets/d/1GfgTldLG6k77HXaMQzaafODklYuucJZQNs_GAPEfZyY/edit?usp=share_link"",""เพชรบูรณ์!J581"")+IMPORTRANGE(""https://docs.google.com/spreadsheets/d/1gvTMYAnm7v1yG1BKWFtr0DnaTsq59oW9dwWvFgq6hs0/edit?usp=share_link"",""แพร่!J581"")+IMPORTRANGE("""&amp;"https://docs.google.com/spreadsheets/d/1Wbcosgy-Xa1xXUArJSOenub6EfZHUSzc_bpJFWwQUf0/edit?usp=share_link"",""แม่ฮ่องสอน!J581"")+IMPORTRANGE(""https://docs.google.com/spreadsheets/d/1p7ERhsr0qZeSn-KSOdeHS9r0heI-lHtkcn2OH7hP0jQ/edit?usp=share_link"",""ลำปาง!"&amp;"J581"")+IMPORTRANGE(""https://docs.google.com/spreadsheets/d/1-uUXvimVhiU2U0bMN-xi2te0tS4X7DI2GLPnMjzl8cA/edit?usp=share_link"",""ลำพูน!J581"")+IMPORTRANGE(""https://docs.google.com/spreadsheets/d/17HrOaa5pBUI1onckFfumXB8xlg35qb2uBAFfF1D-Myo/edit?usp=shar"&amp;"e_link"",""สุโขทัย!J581"")+IMPORTRANGE(""https://docs.google.com/spreadsheets/d/1ubs5cl16eYL9gHbdHTJtmtYb9MGzHBs7CAphn8kNCgM/edit?usp=share_link"",""อุตรดิตถ์!J581"")+IMPORTRANGE(""https://docs.google.com/spreadsheets/d/1kII0BjS6CtVrBvI8IrytgPdxDrlyQDyigz"&amp;"MsohRtDMs/edit?usp=share_link"",""อุทัยธานี!J581"")
"),0)</f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74"/>
      <c r="C582" s="574"/>
      <c r="D582" s="187" t="s">
        <v>246</v>
      </c>
      <c r="E582" s="586"/>
      <c r="F582" s="586"/>
      <c r="G582" s="175"/>
      <c r="H582" s="182" t="s">
        <v>46</v>
      </c>
      <c r="I582" s="162"/>
      <c r="J582" s="194">
        <f t="shared" ref="J582:J583" ca="1" si="290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74"/>
      <c r="C583" s="574"/>
      <c r="D583" s="574"/>
      <c r="E583" s="586"/>
      <c r="F583" s="586"/>
      <c r="G583" s="175"/>
      <c r="H583" s="182" t="s">
        <v>34</v>
      </c>
      <c r="I583" s="162"/>
      <c r="J583" s="194">
        <f t="shared" ca="1" si="290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74"/>
      <c r="C584" s="574"/>
      <c r="D584" s="574"/>
      <c r="E584" s="187" t="s">
        <v>247</v>
      </c>
      <c r="F584" s="586"/>
      <c r="G584" s="175"/>
      <c r="H584" s="182" t="s">
        <v>46</v>
      </c>
      <c r="I584" s="162"/>
      <c r="J584" s="183">
        <f ca="1">IFERROR(__xludf.DUMMYFUNCTION("IMPORTRANGE(""https://docs.google.com/spreadsheets/d/1KxicF4apzSqm0-jIpmueT4kyZtE-Cwn5zskl7GD4loQ/edit?usp=share_link"",""กำแพงเพชร!J584"")+IMPORTRANGE(""https://docs.google.com/spreadsheets/d/1ZNYWeiFoFA1K1U4xKWqRX29MBvEyRHXORjo734Gnq_c/edit?usp=share_li"&amp;"nk"",""เชียงราย!J584"")
+IMPORTRANGE(""https://docs.google.com/spreadsheets/d/1Jgv0Y7YlHDtsiDawwp-uvifEJ8HVaSn0k2aGHG8-hwM/edit?usp=share_link"",""เชียงใหม่!J584"")+IMPORTRANGE(""https://docs.google.com/spreadsheets/d/1JWG2rZePOz9pe-f-ObA-yDr0VoOX2kSb0qIi"&amp;"x2mTUo8/edit?usp=share_link"",""ตาก!J584"")+IMPORTRANGE(""https://docs.google.com/spreadsheets/d/10nSRjK08hx8Y6HgSOQKNw81lyY46Zc7U_Cj72hBMp9U/edit?usp=share_link"",""นครสวรรค์!J584"")+IMPORTRANGE(""https://docs.google.com/spreadsheets/d/1gFVb7qd7amutrIxAA"&amp;"oM7lcy35hllxznovot8lyOfvDo/edit?usp=share_link"",""น่าน!J584"")+IMPORTRANGE(""https://docs.google.com/spreadsheets/d/1K0Aa9s-6EuHE5M0FG1F9aHLXRCOV917xvycTdLdct0w/edit?usp=share_link"",""พะเยา!J584"")+IMPORTRANGE(""https://docs.google.com/spreadsheets/d/1Y"&amp;"9LPKx95PyL5OKy09d-KbKJSuuEZCFdkhYjwC0XQjBA/edit?usp=share_link"",""พิจิตร!J584"")+IMPORTRANGE(""https://docs.google.com/spreadsheets/d/16OMuOwy2eVqZcYWOouQtTpa8X1L23h4660uVHc0C8os/edit?usp=share_link"",""พิษณุโลก!J584"")+IMPORTRANGE(""https://docs.google."&amp;"com/spreadsheets/d/1GfgTldLG6k77HXaMQzaafODklYuucJZQNs_GAPEfZyY/edit?usp=share_link"",""เพชรบูรณ์!J584"")+IMPORTRANGE(""https://docs.google.com/spreadsheets/d/1gvTMYAnm7v1yG1BKWFtr0DnaTsq59oW9dwWvFgq6hs0/edit?usp=share_link"",""แพร่!J584"")+IMPORTRANGE("""&amp;"https://docs.google.com/spreadsheets/d/1Wbcosgy-Xa1xXUArJSOenub6EfZHUSzc_bpJFWwQUf0/edit?usp=share_link"",""แม่ฮ่องสอน!J584"")+IMPORTRANGE(""https://docs.google.com/spreadsheets/d/1p7ERhsr0qZeSn-KSOdeHS9r0heI-lHtkcn2OH7hP0jQ/edit?usp=share_link"",""ลำปาง!"&amp;"J584"")+IMPORTRANGE(""https://docs.google.com/spreadsheets/d/1-uUXvimVhiU2U0bMN-xi2te0tS4X7DI2GLPnMjzl8cA/edit?usp=share_link"",""ลำพูน!J584"")+IMPORTRANGE(""https://docs.google.com/spreadsheets/d/17HrOaa5pBUI1onckFfumXB8xlg35qb2uBAFfF1D-Myo/edit?usp=shar"&amp;"e_link"",""สุโขทัย!J584"")+IMPORTRANGE(""https://docs.google.com/spreadsheets/d/1ubs5cl16eYL9gHbdHTJtmtYb9MGzHBs7CAphn8kNCgM/edit?usp=share_link"",""อุตรดิตถ์!J584"")+IMPORTRANGE(""https://docs.google.com/spreadsheets/d/1kII0BjS6CtVrBvI8IrytgPdxDrlyQDyigz"&amp;"MsohRtDMs/edit?usp=share_link"",""อุทัยธานี!J584"")
"),0)</f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74"/>
      <c r="C585" s="574"/>
      <c r="D585" s="574"/>
      <c r="E585" s="586"/>
      <c r="F585" s="586"/>
      <c r="G585" s="175"/>
      <c r="H585" s="182" t="s">
        <v>34</v>
      </c>
      <c r="I585" s="162"/>
      <c r="J585" s="183">
        <f ca="1">IFERROR(__xludf.DUMMYFUNCTION("IMPORTRANGE(""https://docs.google.com/spreadsheets/d/1KxicF4apzSqm0-jIpmueT4kyZtE-Cwn5zskl7GD4loQ/edit?usp=share_link"",""กำแพงเพชร!J585"")+IMPORTRANGE(""https://docs.google.com/spreadsheets/d/1ZNYWeiFoFA1K1U4xKWqRX29MBvEyRHXORjo734Gnq_c/edit?usp=share_li"&amp;"nk"",""เชียงราย!J585"")
+IMPORTRANGE(""https://docs.google.com/spreadsheets/d/1Jgv0Y7YlHDtsiDawwp-uvifEJ8HVaSn0k2aGHG8-hwM/edit?usp=share_link"",""เชียงใหม่!J585"")+IMPORTRANGE(""https://docs.google.com/spreadsheets/d/1JWG2rZePOz9pe-f-ObA-yDr0VoOX2kSb0qIi"&amp;"x2mTUo8/edit?usp=share_link"",""ตาก!J585"")+IMPORTRANGE(""https://docs.google.com/spreadsheets/d/10nSRjK08hx8Y6HgSOQKNw81lyY46Zc7U_Cj72hBMp9U/edit?usp=share_link"",""นครสวรรค์!J585"")+IMPORTRANGE(""https://docs.google.com/spreadsheets/d/1gFVb7qd7amutrIxAA"&amp;"oM7lcy35hllxznovot8lyOfvDo/edit?usp=share_link"",""น่าน!J585"")+IMPORTRANGE(""https://docs.google.com/spreadsheets/d/1K0Aa9s-6EuHE5M0FG1F9aHLXRCOV917xvycTdLdct0w/edit?usp=share_link"",""พะเยา!J585"")+IMPORTRANGE(""https://docs.google.com/spreadsheets/d/1Y"&amp;"9LPKx95PyL5OKy09d-KbKJSuuEZCFdkhYjwC0XQjBA/edit?usp=share_link"",""พิจิตร!J585"")+IMPORTRANGE(""https://docs.google.com/spreadsheets/d/16OMuOwy2eVqZcYWOouQtTpa8X1L23h4660uVHc0C8os/edit?usp=share_link"",""พิษณุโลก!J585"")+IMPORTRANGE(""https://docs.google."&amp;"com/spreadsheets/d/1GfgTldLG6k77HXaMQzaafODklYuucJZQNs_GAPEfZyY/edit?usp=share_link"",""เพชรบูรณ์!J585"")+IMPORTRANGE(""https://docs.google.com/spreadsheets/d/1gvTMYAnm7v1yG1BKWFtr0DnaTsq59oW9dwWvFgq6hs0/edit?usp=share_link"",""แพร่!J585"")+IMPORTRANGE("""&amp;"https://docs.google.com/spreadsheets/d/1Wbcosgy-Xa1xXUArJSOenub6EfZHUSzc_bpJFWwQUf0/edit?usp=share_link"",""แม่ฮ่องสอน!J585"")+IMPORTRANGE(""https://docs.google.com/spreadsheets/d/1p7ERhsr0qZeSn-KSOdeHS9r0heI-lHtkcn2OH7hP0jQ/edit?usp=share_link"",""ลำปาง!"&amp;"J585"")+IMPORTRANGE(""https://docs.google.com/spreadsheets/d/1-uUXvimVhiU2U0bMN-xi2te0tS4X7DI2GLPnMjzl8cA/edit?usp=share_link"",""ลำพูน!J585"")+IMPORTRANGE(""https://docs.google.com/spreadsheets/d/17HrOaa5pBUI1onckFfumXB8xlg35qb2uBAFfF1D-Myo/edit?usp=shar"&amp;"e_link"",""สุโขทัย!J585"")+IMPORTRANGE(""https://docs.google.com/spreadsheets/d/1ubs5cl16eYL9gHbdHTJtmtYb9MGzHBs7CAphn8kNCgM/edit?usp=share_link"",""อุตรดิตถ์!J585"")+IMPORTRANGE(""https://docs.google.com/spreadsheets/d/1kII0BjS6CtVrBvI8IrytgPdxDrlyQDyigz"&amp;"MsohRtDMs/edit?usp=share_link"",""อุทัยธานี!J585"")
"),0)</f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74"/>
      <c r="C586" s="574"/>
      <c r="D586" s="574"/>
      <c r="E586" s="187" t="s">
        <v>248</v>
      </c>
      <c r="F586" s="586"/>
      <c r="G586" s="175"/>
      <c r="H586" s="182" t="s">
        <v>46</v>
      </c>
      <c r="I586" s="162"/>
      <c r="J586" s="183">
        <f ca="1">IFERROR(__xludf.DUMMYFUNCTION("IMPORTRANGE(""https://docs.google.com/spreadsheets/d/1KxicF4apzSqm0-jIpmueT4kyZtE-Cwn5zskl7GD4loQ/edit?usp=share_link"",""กำแพงเพชร!J586"")+IMPORTRANGE(""https://docs.google.com/spreadsheets/d/1ZNYWeiFoFA1K1U4xKWqRX29MBvEyRHXORjo734Gnq_c/edit?usp=share_li"&amp;"nk"",""เชียงราย!J586"")
+IMPORTRANGE(""https://docs.google.com/spreadsheets/d/1Jgv0Y7YlHDtsiDawwp-uvifEJ8HVaSn0k2aGHG8-hwM/edit?usp=share_link"",""เชียงใหม่!J586"")+IMPORTRANGE(""https://docs.google.com/spreadsheets/d/1JWG2rZePOz9pe-f-ObA-yDr0VoOX2kSb0qIi"&amp;"x2mTUo8/edit?usp=share_link"",""ตาก!J586"")+IMPORTRANGE(""https://docs.google.com/spreadsheets/d/10nSRjK08hx8Y6HgSOQKNw81lyY46Zc7U_Cj72hBMp9U/edit?usp=share_link"",""นครสวรรค์!J586"")+IMPORTRANGE(""https://docs.google.com/spreadsheets/d/1gFVb7qd7amutrIxAA"&amp;"oM7lcy35hllxznovot8lyOfvDo/edit?usp=share_link"",""น่าน!J586"")+IMPORTRANGE(""https://docs.google.com/spreadsheets/d/1K0Aa9s-6EuHE5M0FG1F9aHLXRCOV917xvycTdLdct0w/edit?usp=share_link"",""พะเยา!J586"")+IMPORTRANGE(""https://docs.google.com/spreadsheets/d/1Y"&amp;"9LPKx95PyL5OKy09d-KbKJSuuEZCFdkhYjwC0XQjBA/edit?usp=share_link"",""พิจิตร!J586"")+IMPORTRANGE(""https://docs.google.com/spreadsheets/d/16OMuOwy2eVqZcYWOouQtTpa8X1L23h4660uVHc0C8os/edit?usp=share_link"",""พิษณุโลก!J586"")+IMPORTRANGE(""https://docs.google."&amp;"com/spreadsheets/d/1GfgTldLG6k77HXaMQzaafODklYuucJZQNs_GAPEfZyY/edit?usp=share_link"",""เพชรบูรณ์!J586"")+IMPORTRANGE(""https://docs.google.com/spreadsheets/d/1gvTMYAnm7v1yG1BKWFtr0DnaTsq59oW9dwWvFgq6hs0/edit?usp=share_link"",""แพร่!J586"")+IMPORTRANGE("""&amp;"https://docs.google.com/spreadsheets/d/1Wbcosgy-Xa1xXUArJSOenub6EfZHUSzc_bpJFWwQUf0/edit?usp=share_link"",""แม่ฮ่องสอน!J586"")+IMPORTRANGE(""https://docs.google.com/spreadsheets/d/1p7ERhsr0qZeSn-KSOdeHS9r0heI-lHtkcn2OH7hP0jQ/edit?usp=share_link"",""ลำปาง!"&amp;"J586"")+IMPORTRANGE(""https://docs.google.com/spreadsheets/d/1-uUXvimVhiU2U0bMN-xi2te0tS4X7DI2GLPnMjzl8cA/edit?usp=share_link"",""ลำพูน!J586"")+IMPORTRANGE(""https://docs.google.com/spreadsheets/d/17HrOaa5pBUI1onckFfumXB8xlg35qb2uBAFfF1D-Myo/edit?usp=shar"&amp;"e_link"",""สุโขทัย!J586"")+IMPORTRANGE(""https://docs.google.com/spreadsheets/d/1ubs5cl16eYL9gHbdHTJtmtYb9MGzHBs7CAphn8kNCgM/edit?usp=share_link"",""อุตรดิตถ์!J586"")+IMPORTRANGE(""https://docs.google.com/spreadsheets/d/1kII0BjS6CtVrBvI8IrytgPdxDrlyQDyigz"&amp;"MsohRtDMs/edit?usp=share_link"",""อุทัยธานี!J586"")
"),0)</f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74"/>
      <c r="C587" s="574"/>
      <c r="D587" s="574"/>
      <c r="E587" s="574"/>
      <c r="F587" s="586"/>
      <c r="G587" s="175"/>
      <c r="H587" s="182" t="s">
        <v>34</v>
      </c>
      <c r="I587" s="162"/>
      <c r="J587" s="183">
        <f ca="1">IFERROR(__xludf.DUMMYFUNCTION("IMPORTRANGE(""https://docs.google.com/spreadsheets/d/1KxicF4apzSqm0-jIpmueT4kyZtE-Cwn5zskl7GD4loQ/edit?usp=share_link"",""กำแพงเพชร!J587"")+IMPORTRANGE(""https://docs.google.com/spreadsheets/d/1ZNYWeiFoFA1K1U4xKWqRX29MBvEyRHXORjo734Gnq_c/edit?usp=share_li"&amp;"nk"",""เชียงราย!J587"")
+IMPORTRANGE(""https://docs.google.com/spreadsheets/d/1Jgv0Y7YlHDtsiDawwp-uvifEJ8HVaSn0k2aGHG8-hwM/edit?usp=share_link"",""เชียงใหม่!J587"")+IMPORTRANGE(""https://docs.google.com/spreadsheets/d/1JWG2rZePOz9pe-f-ObA-yDr0VoOX2kSb0qIi"&amp;"x2mTUo8/edit?usp=share_link"",""ตาก!J587"")+IMPORTRANGE(""https://docs.google.com/spreadsheets/d/10nSRjK08hx8Y6HgSOQKNw81lyY46Zc7U_Cj72hBMp9U/edit?usp=share_link"",""นครสวรรค์!J587"")+IMPORTRANGE(""https://docs.google.com/spreadsheets/d/1gFVb7qd7amutrIxAA"&amp;"oM7lcy35hllxznovot8lyOfvDo/edit?usp=share_link"",""น่าน!J587"")+IMPORTRANGE(""https://docs.google.com/spreadsheets/d/1K0Aa9s-6EuHE5M0FG1F9aHLXRCOV917xvycTdLdct0w/edit?usp=share_link"",""พะเยา!J587"")+IMPORTRANGE(""https://docs.google.com/spreadsheets/d/1Y"&amp;"9LPKx95PyL5OKy09d-KbKJSuuEZCFdkhYjwC0XQjBA/edit?usp=share_link"",""พิจิตร!J587"")+IMPORTRANGE(""https://docs.google.com/spreadsheets/d/16OMuOwy2eVqZcYWOouQtTpa8X1L23h4660uVHc0C8os/edit?usp=share_link"",""พิษณุโลก!J587"")+IMPORTRANGE(""https://docs.google."&amp;"com/spreadsheets/d/1GfgTldLG6k77HXaMQzaafODklYuucJZQNs_GAPEfZyY/edit?usp=share_link"",""เพชรบูรณ์!J587"")+IMPORTRANGE(""https://docs.google.com/spreadsheets/d/1gvTMYAnm7v1yG1BKWFtr0DnaTsq59oW9dwWvFgq6hs0/edit?usp=share_link"",""แพร่!J587"")+IMPORTRANGE("""&amp;"https://docs.google.com/spreadsheets/d/1Wbcosgy-Xa1xXUArJSOenub6EfZHUSzc_bpJFWwQUf0/edit?usp=share_link"",""แม่ฮ่องสอน!J587"")+IMPORTRANGE(""https://docs.google.com/spreadsheets/d/1p7ERhsr0qZeSn-KSOdeHS9r0heI-lHtkcn2OH7hP0jQ/edit?usp=share_link"",""ลำปาง!"&amp;"J587"")+IMPORTRANGE(""https://docs.google.com/spreadsheets/d/1-uUXvimVhiU2U0bMN-xi2te0tS4X7DI2GLPnMjzl8cA/edit?usp=share_link"",""ลำพูน!J587"")+IMPORTRANGE(""https://docs.google.com/spreadsheets/d/17HrOaa5pBUI1onckFfumXB8xlg35qb2uBAFfF1D-Myo/edit?usp=shar"&amp;"e_link"",""สุโขทัย!J587"")+IMPORTRANGE(""https://docs.google.com/spreadsheets/d/1ubs5cl16eYL9gHbdHTJtmtYb9MGzHBs7CAphn8kNCgM/edit?usp=share_link"",""อุตรดิตถ์!J587"")+IMPORTRANGE(""https://docs.google.com/spreadsheets/d/1kII0BjS6CtVrBvI8IrytgPdxDrlyQDyigz"&amp;"MsohRtDMs/edit?usp=share_link"",""อุทัยธานี!J587"")
"),0)</f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74"/>
      <c r="C588" s="574"/>
      <c r="D588" s="187" t="s">
        <v>249</v>
      </c>
      <c r="E588" s="586"/>
      <c r="F588" s="586"/>
      <c r="G588" s="175"/>
      <c r="H588" s="182" t="s">
        <v>46</v>
      </c>
      <c r="I588" s="162"/>
      <c r="J588" s="183">
        <f ca="1">IFERROR(__xludf.DUMMYFUNCTION("IMPORTRANGE(""https://docs.google.com/spreadsheets/d/1KxicF4apzSqm0-jIpmueT4kyZtE-Cwn5zskl7GD4loQ/edit?usp=share_link"",""กำแพงเพชร!J588"")+IMPORTRANGE(""https://docs.google.com/spreadsheets/d/1ZNYWeiFoFA1K1U4xKWqRX29MBvEyRHXORjo734Gnq_c/edit?usp=share_li"&amp;"nk"",""เชียงราย!J588"")
+IMPORTRANGE(""https://docs.google.com/spreadsheets/d/1Jgv0Y7YlHDtsiDawwp-uvifEJ8HVaSn0k2aGHG8-hwM/edit?usp=share_link"",""เชียงใหม่!J588"")+IMPORTRANGE(""https://docs.google.com/spreadsheets/d/1JWG2rZePOz9pe-f-ObA-yDr0VoOX2kSb0qIi"&amp;"x2mTUo8/edit?usp=share_link"",""ตาก!J588"")+IMPORTRANGE(""https://docs.google.com/spreadsheets/d/10nSRjK08hx8Y6HgSOQKNw81lyY46Zc7U_Cj72hBMp9U/edit?usp=share_link"",""นครสวรรค์!J588"")+IMPORTRANGE(""https://docs.google.com/spreadsheets/d/1gFVb7qd7amutrIxAA"&amp;"oM7lcy35hllxznovot8lyOfvDo/edit?usp=share_link"",""น่าน!J588"")+IMPORTRANGE(""https://docs.google.com/spreadsheets/d/1K0Aa9s-6EuHE5M0FG1F9aHLXRCOV917xvycTdLdct0w/edit?usp=share_link"",""พะเยา!J588"")+IMPORTRANGE(""https://docs.google.com/spreadsheets/d/1Y"&amp;"9LPKx95PyL5OKy09d-KbKJSuuEZCFdkhYjwC0XQjBA/edit?usp=share_link"",""พิจิตร!J588"")+IMPORTRANGE(""https://docs.google.com/spreadsheets/d/16OMuOwy2eVqZcYWOouQtTpa8X1L23h4660uVHc0C8os/edit?usp=share_link"",""พิษณุโลก!J588"")+IMPORTRANGE(""https://docs.google."&amp;"com/spreadsheets/d/1GfgTldLG6k77HXaMQzaafODklYuucJZQNs_GAPEfZyY/edit?usp=share_link"",""เพชรบูรณ์!J588"")+IMPORTRANGE(""https://docs.google.com/spreadsheets/d/1gvTMYAnm7v1yG1BKWFtr0DnaTsq59oW9dwWvFgq6hs0/edit?usp=share_link"",""แพร่!J588"")+IMPORTRANGE("""&amp;"https://docs.google.com/spreadsheets/d/1Wbcosgy-Xa1xXUArJSOenub6EfZHUSzc_bpJFWwQUf0/edit?usp=share_link"",""แม่ฮ่องสอน!J588"")+IMPORTRANGE(""https://docs.google.com/spreadsheets/d/1p7ERhsr0qZeSn-KSOdeHS9r0heI-lHtkcn2OH7hP0jQ/edit?usp=share_link"",""ลำปาง!"&amp;"J588"")+IMPORTRANGE(""https://docs.google.com/spreadsheets/d/1-uUXvimVhiU2U0bMN-xi2te0tS4X7DI2GLPnMjzl8cA/edit?usp=share_link"",""ลำพูน!J588"")+IMPORTRANGE(""https://docs.google.com/spreadsheets/d/17HrOaa5pBUI1onckFfumXB8xlg35qb2uBAFfF1D-Myo/edit?usp=shar"&amp;"e_link"",""สุโขทัย!J588"")+IMPORTRANGE(""https://docs.google.com/spreadsheets/d/1ubs5cl16eYL9gHbdHTJtmtYb9MGzHBs7CAphn8kNCgM/edit?usp=share_link"",""อุตรดิตถ์!J588"")+IMPORTRANGE(""https://docs.google.com/spreadsheets/d/1kII0BjS6CtVrBvI8IrytgPdxDrlyQDyigz"&amp;"MsohRtDMs/edit?usp=share_link"",""อุทัยธานี!J588"")
"),0)</f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74"/>
      <c r="C589" s="574"/>
      <c r="D589" s="574"/>
      <c r="E589" s="574"/>
      <c r="F589" s="586"/>
      <c r="G589" s="175"/>
      <c r="H589" s="182" t="s">
        <v>34</v>
      </c>
      <c r="I589" s="162"/>
      <c r="J589" s="183">
        <f ca="1">IFERROR(__xludf.DUMMYFUNCTION("IMPORTRANGE(""https://docs.google.com/spreadsheets/d/1KxicF4apzSqm0-jIpmueT4kyZtE-Cwn5zskl7GD4loQ/edit?usp=share_link"",""กำแพงเพชร!J589"")+IMPORTRANGE(""https://docs.google.com/spreadsheets/d/1ZNYWeiFoFA1K1U4xKWqRX29MBvEyRHXORjo734Gnq_c/edit?usp=share_li"&amp;"nk"",""เชียงราย!J589"")
+IMPORTRANGE(""https://docs.google.com/spreadsheets/d/1Jgv0Y7YlHDtsiDawwp-uvifEJ8HVaSn0k2aGHG8-hwM/edit?usp=share_link"",""เชียงใหม่!J589"")+IMPORTRANGE(""https://docs.google.com/spreadsheets/d/1JWG2rZePOz9pe-f-ObA-yDr0VoOX2kSb0qIi"&amp;"x2mTUo8/edit?usp=share_link"",""ตาก!J589"")+IMPORTRANGE(""https://docs.google.com/spreadsheets/d/10nSRjK08hx8Y6HgSOQKNw81lyY46Zc7U_Cj72hBMp9U/edit?usp=share_link"",""นครสวรรค์!J589"")+IMPORTRANGE(""https://docs.google.com/spreadsheets/d/1gFVb7qd7amutrIxAA"&amp;"oM7lcy35hllxznovot8lyOfvDo/edit?usp=share_link"",""น่าน!J589"")+IMPORTRANGE(""https://docs.google.com/spreadsheets/d/1K0Aa9s-6EuHE5M0FG1F9aHLXRCOV917xvycTdLdct0w/edit?usp=share_link"",""พะเยา!J589"")+IMPORTRANGE(""https://docs.google.com/spreadsheets/d/1Y"&amp;"9LPKx95PyL5OKy09d-KbKJSuuEZCFdkhYjwC0XQjBA/edit?usp=share_link"",""พิจิตร!J589"")+IMPORTRANGE(""https://docs.google.com/spreadsheets/d/16OMuOwy2eVqZcYWOouQtTpa8X1L23h4660uVHc0C8os/edit?usp=share_link"",""พิษณุโลก!J589"")+IMPORTRANGE(""https://docs.google."&amp;"com/spreadsheets/d/1GfgTldLG6k77HXaMQzaafODklYuucJZQNs_GAPEfZyY/edit?usp=share_link"",""เพชรบูรณ์!J589"")+IMPORTRANGE(""https://docs.google.com/spreadsheets/d/1gvTMYAnm7v1yG1BKWFtr0DnaTsq59oW9dwWvFgq6hs0/edit?usp=share_link"",""แพร่!J589"")+IMPORTRANGE("""&amp;"https://docs.google.com/spreadsheets/d/1Wbcosgy-Xa1xXUArJSOenub6EfZHUSzc_bpJFWwQUf0/edit?usp=share_link"",""แม่ฮ่องสอน!J589"")+IMPORTRANGE(""https://docs.google.com/spreadsheets/d/1p7ERhsr0qZeSn-KSOdeHS9r0heI-lHtkcn2OH7hP0jQ/edit?usp=share_link"",""ลำปาง!"&amp;"J589"")+IMPORTRANGE(""https://docs.google.com/spreadsheets/d/1-uUXvimVhiU2U0bMN-xi2te0tS4X7DI2GLPnMjzl8cA/edit?usp=share_link"",""ลำพูน!J589"")+IMPORTRANGE(""https://docs.google.com/spreadsheets/d/17HrOaa5pBUI1onckFfumXB8xlg35qb2uBAFfF1D-Myo/edit?usp=shar"&amp;"e_link"",""สุโขทัย!J589"")+IMPORTRANGE(""https://docs.google.com/spreadsheets/d/1ubs5cl16eYL9gHbdHTJtmtYb9MGzHBs7CAphn8kNCgM/edit?usp=share_link"",""อุตรดิตถ์!J589"")+IMPORTRANGE(""https://docs.google.com/spreadsheets/d/1kII0BjS6CtVrBvI8IrytgPdxDrlyQDyigz"&amp;"MsohRtDMs/edit?usp=share_link"",""อุทัยธานี!J589"")
"),0)</f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74"/>
      <c r="C590" s="574"/>
      <c r="D590" s="187" t="s">
        <v>250</v>
      </c>
      <c r="E590" s="586"/>
      <c r="F590" s="586"/>
      <c r="G590" s="175"/>
      <c r="H590" s="182" t="s">
        <v>46</v>
      </c>
      <c r="I590" s="162"/>
      <c r="J590" s="183">
        <f ca="1">IFERROR(__xludf.DUMMYFUNCTION("IMPORTRANGE(""https://docs.google.com/spreadsheets/d/1KxicF4apzSqm0-jIpmueT4kyZtE-Cwn5zskl7GD4loQ/edit?usp=share_link"",""กำแพงเพชร!J590"")+IMPORTRANGE(""https://docs.google.com/spreadsheets/d/1ZNYWeiFoFA1K1U4xKWqRX29MBvEyRHXORjo734Gnq_c/edit?usp=share_li"&amp;"nk"",""เชียงราย!J590"")
+IMPORTRANGE(""https://docs.google.com/spreadsheets/d/1Jgv0Y7YlHDtsiDawwp-uvifEJ8HVaSn0k2aGHG8-hwM/edit?usp=share_link"",""เชียงใหม่!J590"")+IMPORTRANGE(""https://docs.google.com/spreadsheets/d/1JWG2rZePOz9pe-f-ObA-yDr0VoOX2kSb0qIi"&amp;"x2mTUo8/edit?usp=share_link"",""ตาก!J590"")+IMPORTRANGE(""https://docs.google.com/spreadsheets/d/10nSRjK08hx8Y6HgSOQKNw81lyY46Zc7U_Cj72hBMp9U/edit?usp=share_link"",""นครสวรรค์!J590"")+IMPORTRANGE(""https://docs.google.com/spreadsheets/d/1gFVb7qd7amutrIxAA"&amp;"oM7lcy35hllxznovot8lyOfvDo/edit?usp=share_link"",""น่าน!J590"")+IMPORTRANGE(""https://docs.google.com/spreadsheets/d/1K0Aa9s-6EuHE5M0FG1F9aHLXRCOV917xvycTdLdct0w/edit?usp=share_link"",""พะเยา!J590"")+IMPORTRANGE(""https://docs.google.com/spreadsheets/d/1Y"&amp;"9LPKx95PyL5OKy09d-KbKJSuuEZCFdkhYjwC0XQjBA/edit?usp=share_link"",""พิจิตร!J590"")+IMPORTRANGE(""https://docs.google.com/spreadsheets/d/16OMuOwy2eVqZcYWOouQtTpa8X1L23h4660uVHc0C8os/edit?usp=share_link"",""พิษณุโลก!J590"")+IMPORTRANGE(""https://docs.google."&amp;"com/spreadsheets/d/1GfgTldLG6k77HXaMQzaafODklYuucJZQNs_GAPEfZyY/edit?usp=share_link"",""เพชรบูรณ์!J590"")+IMPORTRANGE(""https://docs.google.com/spreadsheets/d/1gvTMYAnm7v1yG1BKWFtr0DnaTsq59oW9dwWvFgq6hs0/edit?usp=share_link"",""แพร่!J590"")+IMPORTRANGE("""&amp;"https://docs.google.com/spreadsheets/d/1Wbcosgy-Xa1xXUArJSOenub6EfZHUSzc_bpJFWwQUf0/edit?usp=share_link"",""แม่ฮ่องสอน!J590"")+IMPORTRANGE(""https://docs.google.com/spreadsheets/d/1p7ERhsr0qZeSn-KSOdeHS9r0heI-lHtkcn2OH7hP0jQ/edit?usp=share_link"",""ลำปาง!"&amp;"J590"")+IMPORTRANGE(""https://docs.google.com/spreadsheets/d/1-uUXvimVhiU2U0bMN-xi2te0tS4X7DI2GLPnMjzl8cA/edit?usp=share_link"",""ลำพูน!J590"")+IMPORTRANGE(""https://docs.google.com/spreadsheets/d/17HrOaa5pBUI1onckFfumXB8xlg35qb2uBAFfF1D-Myo/edit?usp=shar"&amp;"e_link"",""สุโขทัย!J590"")+IMPORTRANGE(""https://docs.google.com/spreadsheets/d/1ubs5cl16eYL9gHbdHTJtmtYb9MGzHBs7CAphn8kNCgM/edit?usp=share_link"",""อุตรดิตถ์!J590"")+IMPORTRANGE(""https://docs.google.com/spreadsheets/d/1kII0BjS6CtVrBvI8IrytgPdxDrlyQDyigz"&amp;"MsohRtDMs/edit?usp=share_link"",""อุทัยธานี!J590"")
"),0)</f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f ca="1">IFERROR(__xludf.DUMMYFUNCTION("IMPORTRANGE(""https://docs.google.com/spreadsheets/d/1KxicF4apzSqm0-jIpmueT4kyZtE-Cwn5zskl7GD4loQ/edit?usp=share_link"",""กำแพงเพชร!J591"")+IMPORTRANGE(""https://docs.google.com/spreadsheets/d/1ZNYWeiFoFA1K1U4xKWqRX29MBvEyRHXORjo734Gnq_c/edit?usp=share_li"&amp;"nk"",""เชียงราย!J591"")
+IMPORTRANGE(""https://docs.google.com/spreadsheets/d/1Jgv0Y7YlHDtsiDawwp-uvifEJ8HVaSn0k2aGHG8-hwM/edit?usp=share_link"",""เชียงใหม่!J591"")+IMPORTRANGE(""https://docs.google.com/spreadsheets/d/1JWG2rZePOz9pe-f-ObA-yDr0VoOX2kSb0qIi"&amp;"x2mTUo8/edit?usp=share_link"",""ตาก!J591"")+IMPORTRANGE(""https://docs.google.com/spreadsheets/d/10nSRjK08hx8Y6HgSOQKNw81lyY46Zc7U_Cj72hBMp9U/edit?usp=share_link"",""นครสวรรค์!J591"")+IMPORTRANGE(""https://docs.google.com/spreadsheets/d/1gFVb7qd7amutrIxAA"&amp;"oM7lcy35hllxznovot8lyOfvDo/edit?usp=share_link"",""น่าน!J591"")+IMPORTRANGE(""https://docs.google.com/spreadsheets/d/1K0Aa9s-6EuHE5M0FG1F9aHLXRCOV917xvycTdLdct0w/edit?usp=share_link"",""พะเยา!J591"")+IMPORTRANGE(""https://docs.google.com/spreadsheets/d/1Y"&amp;"9LPKx95PyL5OKy09d-KbKJSuuEZCFdkhYjwC0XQjBA/edit?usp=share_link"",""พิจิตร!J591"")+IMPORTRANGE(""https://docs.google.com/spreadsheets/d/16OMuOwy2eVqZcYWOouQtTpa8X1L23h4660uVHc0C8os/edit?usp=share_link"",""พิษณุโลก!J591"")+IMPORTRANGE(""https://docs.google."&amp;"com/spreadsheets/d/1GfgTldLG6k77HXaMQzaafODklYuucJZQNs_GAPEfZyY/edit?usp=share_link"",""เพชรบูรณ์!J591"")+IMPORTRANGE(""https://docs.google.com/spreadsheets/d/1gvTMYAnm7v1yG1BKWFtr0DnaTsq59oW9dwWvFgq6hs0/edit?usp=share_link"",""แพร่!J591"")+IMPORTRANGE("""&amp;"https://docs.google.com/spreadsheets/d/1Wbcosgy-Xa1xXUArJSOenub6EfZHUSzc_bpJFWwQUf0/edit?usp=share_link"",""แม่ฮ่องสอน!J591"")+IMPORTRANGE(""https://docs.google.com/spreadsheets/d/1p7ERhsr0qZeSn-KSOdeHS9r0heI-lHtkcn2OH7hP0jQ/edit?usp=share_link"",""ลำปาง!"&amp;"J591"")+IMPORTRANGE(""https://docs.google.com/spreadsheets/d/1-uUXvimVhiU2U0bMN-xi2te0tS4X7DI2GLPnMjzl8cA/edit?usp=share_link"",""ลำพูน!J591"")+IMPORTRANGE(""https://docs.google.com/spreadsheets/d/17HrOaa5pBUI1onckFfumXB8xlg35qb2uBAFfF1D-Myo/edit?usp=shar"&amp;"e_link"",""สุโขทัย!J591"")+IMPORTRANGE(""https://docs.google.com/spreadsheets/d/1ubs5cl16eYL9gHbdHTJtmtYb9MGzHBs7CAphn8kNCgM/edit?usp=share_link"",""อุตรดิตถ์!J591"")+IMPORTRANGE(""https://docs.google.com/spreadsheets/d/1kII0BjS6CtVrBvI8IrytgPdxDrlyQDyigz"&amp;"MsohRtDMs/edit?usp=share_link"",""อุทัยธานี!J591"")
"),0)</f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91">I593</f>
        <v>63469.03</v>
      </c>
      <c r="J592" s="643">
        <f t="shared" ca="1" si="291"/>
        <v>6221.49</v>
      </c>
      <c r="K592" s="644">
        <f t="shared" ref="K592:K594" ca="1" si="292">IF(I592&gt;0,J592*100/I592,0)</f>
        <v>9.8024028411967219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74"/>
      <c r="C593" s="589" t="s">
        <v>252</v>
      </c>
      <c r="D593" s="574"/>
      <c r="E593" s="574"/>
      <c r="F593" s="586"/>
      <c r="G593" s="175"/>
      <c r="H593" s="192" t="s">
        <v>46</v>
      </c>
      <c r="I593" s="671">
        <f ca="1">IFERROR(__xludf.DUMMYFUNCTION("IMPORTRANGE(""https://docs.google.com/spreadsheets/d/1KxicF4apzSqm0-jIpmueT4kyZtE-Cwn5zskl7GD4loQ/edit?usp=share_link"",""กำแพงเพชร!I593"")+IMPORTRANGE(""https://docs.google.com/spreadsheets/d/1ZNYWeiFoFA1K1U4xKWqRX29MBvEyRHXORjo734Gnq_c/edit?usp=share_li"&amp;"nk"",""เชียงราย!I593"")
+IMPORTRANGE(""https://docs.google.com/spreadsheets/d/1Jgv0Y7YlHDtsiDawwp-uvifEJ8HVaSn0k2aGHG8-hwM/edit?usp=share_link"",""เชียงใหม่!I593"")+IMPORTRANGE(""https://docs.google.com/spreadsheets/d/1JWG2rZePOz9pe-f-ObA-yDr0VoOX2kSb0qIi"&amp;"x2mTUo8/edit?usp=share_link"",""ตาก!I593"")+IMPORTRANGE(""https://docs.google.com/spreadsheets/d/10nSRjK08hx8Y6HgSOQKNw81lyY46Zc7U_Cj72hBMp9U/edit?usp=share_link"",""นครสวรรค์!I593"")+IMPORTRANGE(""https://docs.google.com/spreadsheets/d/1gFVb7qd7amutrIxAA"&amp;"oM7lcy35hllxznovot8lyOfvDo/edit?usp=share_link"",""น่าน!I593"")+IMPORTRANGE(""https://docs.google.com/spreadsheets/d/1K0Aa9s-6EuHE5M0FG1F9aHLXRCOV917xvycTdLdct0w/edit?usp=share_link"",""พะเยา!I593"")+IMPORTRANGE(""https://docs.google.com/spreadsheets/d/1Y"&amp;"9LPKx95PyL5OKy09d-KbKJSuuEZCFdkhYjwC0XQjBA/edit?usp=share_link"",""พิจิตร!I593"")+IMPORTRANGE(""https://docs.google.com/spreadsheets/d/16OMuOwy2eVqZcYWOouQtTpa8X1L23h4660uVHc0C8os/edit?usp=share_link"",""พิษณุโลก!I593"")+IMPORTRANGE(""https://docs.google."&amp;"com/spreadsheets/d/1GfgTldLG6k77HXaMQzaafODklYuucJZQNs_GAPEfZyY/edit?usp=share_link"",""เพชรบูรณ์!I593"")+IMPORTRANGE(""https://docs.google.com/spreadsheets/d/1gvTMYAnm7v1yG1BKWFtr0DnaTsq59oW9dwWvFgq6hs0/edit?usp=share_link"",""แพร่!I593"")+IMPORTRANGE("""&amp;"https://docs.google.com/spreadsheets/d/1Wbcosgy-Xa1xXUArJSOenub6EfZHUSzc_bpJFWwQUf0/edit?usp=share_link"",""แม่ฮ่องสอน!I593"")+IMPORTRANGE(""https://docs.google.com/spreadsheets/d/1p7ERhsr0qZeSn-KSOdeHS9r0heI-lHtkcn2OH7hP0jQ/edit?usp=share_link"",""ลำปาง!"&amp;"I593"")+IMPORTRANGE(""https://docs.google.com/spreadsheets/d/1-uUXvimVhiU2U0bMN-xi2te0tS4X7DI2GLPnMjzl8cA/edit?usp=share_link"",""ลำพูน!I593"")+IMPORTRANGE(""https://docs.google.com/spreadsheets/d/17HrOaa5pBUI1onckFfumXB8xlg35qb2uBAFfF1D-Myo/edit?usp=shar"&amp;"e_link"",""สุโขทัย!I593"")+IMPORTRANGE(""https://docs.google.com/spreadsheets/d/1ubs5cl16eYL9gHbdHTJtmtYb9MGzHBs7CAphn8kNCgM/edit?usp=share_link"",""อุตรดิตถ์!I593"")+IMPORTRANGE(""https://docs.google.com/spreadsheets/d/1kII0BjS6CtVrBvI8IrytgPdxDrlyQDyigz"&amp;"MsohRtDMs/edit?usp=share_link"",""อุทัยธานี!I593"")
"),63469.03)</f>
        <v>63469.03</v>
      </c>
      <c r="J593" s="193">
        <f t="shared" ref="J593:J594" ca="1" si="293">J595+J603+J609</f>
        <v>6221.49</v>
      </c>
      <c r="K593" s="380">
        <f t="shared" ca="1" si="292"/>
        <v>9.8024028411967219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74"/>
      <c r="C594" s="574"/>
      <c r="D594" s="574"/>
      <c r="E594" s="586"/>
      <c r="F594" s="586"/>
      <c r="G594" s="175"/>
      <c r="H594" s="192" t="s">
        <v>34</v>
      </c>
      <c r="I594" s="193">
        <f ca="1">IFERROR(__xludf.DUMMYFUNCTION("IMPORTRANGE(""https://docs.google.com/spreadsheets/d/1KxicF4apzSqm0-jIpmueT4kyZtE-Cwn5zskl7GD4loQ/edit?usp=share_link"",""กำแพงเพชร!I594"")+IMPORTRANGE(""https://docs.google.com/spreadsheets/d/1ZNYWeiFoFA1K1U4xKWqRX29MBvEyRHXORjo734Gnq_c/edit?usp=share_li"&amp;"nk"",""เชียงราย!I594"")
+IMPORTRANGE(""https://docs.google.com/spreadsheets/d/1Jgv0Y7YlHDtsiDawwp-uvifEJ8HVaSn0k2aGHG8-hwM/edit?usp=share_link"",""เชียงใหม่!I594"")+IMPORTRANGE(""https://docs.google.com/spreadsheets/d/1JWG2rZePOz9pe-f-ObA-yDr0VoOX2kSb0qIi"&amp;"x2mTUo8/edit?usp=share_link"",""ตาก!I594"")+IMPORTRANGE(""https://docs.google.com/spreadsheets/d/10nSRjK08hx8Y6HgSOQKNw81lyY46Zc7U_Cj72hBMp9U/edit?usp=share_link"",""นครสวรรค์!I594"")+IMPORTRANGE(""https://docs.google.com/spreadsheets/d/1gFVb7qd7amutrIxAA"&amp;"oM7lcy35hllxznovot8lyOfvDo/edit?usp=share_link"",""น่าน!I594"")+IMPORTRANGE(""https://docs.google.com/spreadsheets/d/1K0Aa9s-6EuHE5M0FG1F9aHLXRCOV917xvycTdLdct0w/edit?usp=share_link"",""พะเยา!I594"")+IMPORTRANGE(""https://docs.google.com/spreadsheets/d/1Y"&amp;"9LPKx95PyL5OKy09d-KbKJSuuEZCFdkhYjwC0XQjBA/edit?usp=share_link"",""พิจิตร!I594"")+IMPORTRANGE(""https://docs.google.com/spreadsheets/d/16OMuOwy2eVqZcYWOouQtTpa8X1L23h4660uVHc0C8os/edit?usp=share_link"",""พิษณุโลก!I594"")+IMPORTRANGE(""https://docs.google."&amp;"com/spreadsheets/d/1GfgTldLG6k77HXaMQzaafODklYuucJZQNs_GAPEfZyY/edit?usp=share_link"",""เพชรบูรณ์!I594"")+IMPORTRANGE(""https://docs.google.com/spreadsheets/d/1gvTMYAnm7v1yG1BKWFtr0DnaTsq59oW9dwWvFgq6hs0/edit?usp=share_link"",""แพร่!I594"")+IMPORTRANGE("""&amp;"https://docs.google.com/spreadsheets/d/1Wbcosgy-Xa1xXUArJSOenub6EfZHUSzc_bpJFWwQUf0/edit?usp=share_link"",""แม่ฮ่องสอน!I594"")+IMPORTRANGE(""https://docs.google.com/spreadsheets/d/1p7ERhsr0qZeSn-KSOdeHS9r0heI-lHtkcn2OH7hP0jQ/edit?usp=share_link"",""ลำปาง!"&amp;"I594"")+IMPORTRANGE(""https://docs.google.com/spreadsheets/d/1-uUXvimVhiU2U0bMN-xi2te0tS4X7DI2GLPnMjzl8cA/edit?usp=share_link"",""ลำพูน!I594"")+IMPORTRANGE(""https://docs.google.com/spreadsheets/d/17HrOaa5pBUI1onckFfumXB8xlg35qb2uBAFfF1D-Myo/edit?usp=shar"&amp;"e_link"",""สุโขทัย!I594"")+IMPORTRANGE(""https://docs.google.com/spreadsheets/d/1ubs5cl16eYL9gHbdHTJtmtYb9MGzHBs7CAphn8kNCgM/edit?usp=share_link"",""อุตรดิตถ์!I594"")+IMPORTRANGE(""https://docs.google.com/spreadsheets/d/1kII0BjS6CtVrBvI8IrytgPdxDrlyQDyigz"&amp;"MsohRtDMs/edit?usp=share_link"",""อุทัยธานี!I594"")
"),6509)</f>
        <v>6509</v>
      </c>
      <c r="J594" s="193">
        <f t="shared" ca="1" si="293"/>
        <v>755</v>
      </c>
      <c r="K594" s="380">
        <f t="shared" ca="1" si="292"/>
        <v>11.599324012905209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74"/>
      <c r="C595" s="585" t="s">
        <v>253</v>
      </c>
      <c r="D595" s="574"/>
      <c r="E595" s="574"/>
      <c r="F595" s="586"/>
      <c r="G595" s="175"/>
      <c r="H595" s="182" t="s">
        <v>46</v>
      </c>
      <c r="I595" s="162"/>
      <c r="J595" s="162">
        <f t="shared" ref="J595:J596" ca="1" si="294">J597+J599</f>
        <v>5970.49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74"/>
      <c r="C596" s="574"/>
      <c r="D596" s="574"/>
      <c r="E596" s="586"/>
      <c r="F596" s="586"/>
      <c r="G596" s="175"/>
      <c r="H596" s="182" t="s">
        <v>34</v>
      </c>
      <c r="I596" s="162"/>
      <c r="J596" s="162">
        <f t="shared" ca="1" si="294"/>
        <v>730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74"/>
      <c r="C597" s="574"/>
      <c r="D597" s="263" t="s">
        <v>254</v>
      </c>
      <c r="E597" s="586"/>
      <c r="F597" s="586"/>
      <c r="G597" s="175"/>
      <c r="H597" s="182" t="s">
        <v>46</v>
      </c>
      <c r="I597" s="162"/>
      <c r="J597" s="183">
        <f ca="1">IFERROR(__xludf.DUMMYFUNCTION("IMPORTRANGE(""https://docs.google.com/spreadsheets/d/1KxicF4apzSqm0-jIpmueT4kyZtE-Cwn5zskl7GD4loQ/edit?usp=share_link"",""กำแพงเพชร!J597"")+IMPORTRANGE(""https://docs.google.com/spreadsheets/d/1ZNYWeiFoFA1K1U4xKWqRX29MBvEyRHXORjo734Gnq_c/edit?usp=share_li"&amp;"nk"",""เชียงราย!J597"")
+IMPORTRANGE(""https://docs.google.com/spreadsheets/d/1Jgv0Y7YlHDtsiDawwp-uvifEJ8HVaSn0k2aGHG8-hwM/edit?usp=share_link"",""เชียงใหม่!J597"")+IMPORTRANGE(""https://docs.google.com/spreadsheets/d/1JWG2rZePOz9pe-f-ObA-yDr0VoOX2kSb0qIi"&amp;"x2mTUo8/edit?usp=share_link"",""ตาก!J597"")+IMPORTRANGE(""https://docs.google.com/spreadsheets/d/10nSRjK08hx8Y6HgSOQKNw81lyY46Zc7U_Cj72hBMp9U/edit?usp=share_link"",""นครสวรรค์!J597"")+IMPORTRANGE(""https://docs.google.com/spreadsheets/d/1gFVb7qd7amutrIxAA"&amp;"oM7lcy35hllxznovot8lyOfvDo/edit?usp=share_link"",""น่าน!J597"")+IMPORTRANGE(""https://docs.google.com/spreadsheets/d/1K0Aa9s-6EuHE5M0FG1F9aHLXRCOV917xvycTdLdct0w/edit?usp=share_link"",""พะเยา!J597"")+IMPORTRANGE(""https://docs.google.com/spreadsheets/d/1Y"&amp;"9LPKx95PyL5OKy09d-KbKJSuuEZCFdkhYjwC0XQjBA/edit?usp=share_link"",""พิจิตร!J597"")+IMPORTRANGE(""https://docs.google.com/spreadsheets/d/16OMuOwy2eVqZcYWOouQtTpa8X1L23h4660uVHc0C8os/edit?usp=share_link"",""พิษณุโลก!J597"")+IMPORTRANGE(""https://docs.google."&amp;"com/spreadsheets/d/1GfgTldLG6k77HXaMQzaafODklYuucJZQNs_GAPEfZyY/edit?usp=share_link"",""เพชรบูรณ์!J597"")+IMPORTRANGE(""https://docs.google.com/spreadsheets/d/1gvTMYAnm7v1yG1BKWFtr0DnaTsq59oW9dwWvFgq6hs0/edit?usp=share_link"",""แพร่!J597"")+IMPORTRANGE("""&amp;"https://docs.google.com/spreadsheets/d/1Wbcosgy-Xa1xXUArJSOenub6EfZHUSzc_bpJFWwQUf0/edit?usp=share_link"",""แม่ฮ่องสอน!J597"")+IMPORTRANGE(""https://docs.google.com/spreadsheets/d/1p7ERhsr0qZeSn-KSOdeHS9r0heI-lHtkcn2OH7hP0jQ/edit?usp=share_link"",""ลำปาง!"&amp;"J597"")+IMPORTRANGE(""https://docs.google.com/spreadsheets/d/1-uUXvimVhiU2U0bMN-xi2te0tS4X7DI2GLPnMjzl8cA/edit?usp=share_link"",""ลำพูน!J597"")+IMPORTRANGE(""https://docs.google.com/spreadsheets/d/17HrOaa5pBUI1onckFfumXB8xlg35qb2uBAFfF1D-Myo/edit?usp=shar"&amp;"e_link"",""สุโขทัย!J597"")+IMPORTRANGE(""https://docs.google.com/spreadsheets/d/1ubs5cl16eYL9gHbdHTJtmtYb9MGzHBs7CAphn8kNCgM/edit?usp=share_link"",""อุตรดิตถ์!J597"")+IMPORTRANGE(""https://docs.google.com/spreadsheets/d/1kII0BjS6CtVrBvI8IrytgPdxDrlyQDyigz"&amp;"MsohRtDMs/edit?usp=share_link"",""อุทัยธานี!J597"")
"),3118)</f>
        <v>3118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74"/>
      <c r="C598" s="574"/>
      <c r="D598" s="574"/>
      <c r="E598" s="586"/>
      <c r="F598" s="586"/>
      <c r="G598" s="175"/>
      <c r="H598" s="182" t="s">
        <v>34</v>
      </c>
      <c r="I598" s="37"/>
      <c r="J598" s="183">
        <f ca="1">IFERROR(__xludf.DUMMYFUNCTION("IMPORTRANGE(""https://docs.google.com/spreadsheets/d/1KxicF4apzSqm0-jIpmueT4kyZtE-Cwn5zskl7GD4loQ/edit?usp=share_link"",""กำแพงเพชร!J598"")+IMPORTRANGE(""https://docs.google.com/spreadsheets/d/1ZNYWeiFoFA1K1U4xKWqRX29MBvEyRHXORjo734Gnq_c/edit?usp=share_li"&amp;"nk"",""เชียงราย!J598"")
+IMPORTRANGE(""https://docs.google.com/spreadsheets/d/1Jgv0Y7YlHDtsiDawwp-uvifEJ8HVaSn0k2aGHG8-hwM/edit?usp=share_link"",""เชียงใหม่!J598"")+IMPORTRANGE(""https://docs.google.com/spreadsheets/d/1JWG2rZePOz9pe-f-ObA-yDr0VoOX2kSb0qIi"&amp;"x2mTUo8/edit?usp=share_link"",""ตาก!J598"")+IMPORTRANGE(""https://docs.google.com/spreadsheets/d/10nSRjK08hx8Y6HgSOQKNw81lyY46Zc7U_Cj72hBMp9U/edit?usp=share_link"",""นครสวรรค์!J598"")+IMPORTRANGE(""https://docs.google.com/spreadsheets/d/1gFVb7qd7amutrIxAA"&amp;"oM7lcy35hllxznovot8lyOfvDo/edit?usp=share_link"",""น่าน!J598"")+IMPORTRANGE(""https://docs.google.com/spreadsheets/d/1K0Aa9s-6EuHE5M0FG1F9aHLXRCOV917xvycTdLdct0w/edit?usp=share_link"",""พะเยา!J598"")+IMPORTRANGE(""https://docs.google.com/spreadsheets/d/1Y"&amp;"9LPKx95PyL5OKy09d-KbKJSuuEZCFdkhYjwC0XQjBA/edit?usp=share_link"",""พิจิตร!J598"")+IMPORTRANGE(""https://docs.google.com/spreadsheets/d/16OMuOwy2eVqZcYWOouQtTpa8X1L23h4660uVHc0C8os/edit?usp=share_link"",""พิษณุโลก!J598"")+IMPORTRANGE(""https://docs.google."&amp;"com/spreadsheets/d/1GfgTldLG6k77HXaMQzaafODklYuucJZQNs_GAPEfZyY/edit?usp=share_link"",""เพชรบูรณ์!J598"")+IMPORTRANGE(""https://docs.google.com/spreadsheets/d/1gvTMYAnm7v1yG1BKWFtr0DnaTsq59oW9dwWvFgq6hs0/edit?usp=share_link"",""แพร่!J598"")+IMPORTRANGE("""&amp;"https://docs.google.com/spreadsheets/d/1Wbcosgy-Xa1xXUArJSOenub6EfZHUSzc_bpJFWwQUf0/edit?usp=share_link"",""แม่ฮ่องสอน!J598"")+IMPORTRANGE(""https://docs.google.com/spreadsheets/d/1p7ERhsr0qZeSn-KSOdeHS9r0heI-lHtkcn2OH7hP0jQ/edit?usp=share_link"",""ลำปาง!"&amp;"J598"")+IMPORTRANGE(""https://docs.google.com/spreadsheets/d/1-uUXvimVhiU2U0bMN-xi2te0tS4X7DI2GLPnMjzl8cA/edit?usp=share_link"",""ลำพูน!J598"")+IMPORTRANGE(""https://docs.google.com/spreadsheets/d/17HrOaa5pBUI1onckFfumXB8xlg35qb2uBAFfF1D-Myo/edit?usp=shar"&amp;"e_link"",""สุโขทัย!J598"")+IMPORTRANGE(""https://docs.google.com/spreadsheets/d/1ubs5cl16eYL9gHbdHTJtmtYb9MGzHBs7CAphn8kNCgM/edit?usp=share_link"",""อุตรดิตถ์!J598"")+IMPORTRANGE(""https://docs.google.com/spreadsheets/d/1kII0BjS6CtVrBvI8IrytgPdxDrlyQDyigz"&amp;"MsohRtDMs/edit?usp=share_link"",""อุทัยธานี!J598"")
"),348)</f>
        <v>348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74"/>
      <c r="C599" s="574"/>
      <c r="D599" s="263" t="s">
        <v>255</v>
      </c>
      <c r="E599" s="586"/>
      <c r="F599" s="586"/>
      <c r="G599" s="175"/>
      <c r="H599" s="182" t="s">
        <v>46</v>
      </c>
      <c r="I599" s="37"/>
      <c r="J599" s="183">
        <f ca="1">IFERROR(__xludf.DUMMYFUNCTION("IMPORTRANGE(""https://docs.google.com/spreadsheets/d/1KxicF4apzSqm0-jIpmueT4kyZtE-Cwn5zskl7GD4loQ/edit?usp=share_link"",""กำแพงเพชร!J599"")+IMPORTRANGE(""https://docs.google.com/spreadsheets/d/1ZNYWeiFoFA1K1U4xKWqRX29MBvEyRHXORjo734Gnq_c/edit?usp=share_li"&amp;"nk"",""เชียงราย!J599"")
+IMPORTRANGE(""https://docs.google.com/spreadsheets/d/1Jgv0Y7YlHDtsiDawwp-uvifEJ8HVaSn0k2aGHG8-hwM/edit?usp=share_link"",""เชียงใหม่!J599"")+IMPORTRANGE(""https://docs.google.com/spreadsheets/d/1JWG2rZePOz9pe-f-ObA-yDr0VoOX2kSb0qIi"&amp;"x2mTUo8/edit?usp=share_link"",""ตาก!J599"")+IMPORTRANGE(""https://docs.google.com/spreadsheets/d/10nSRjK08hx8Y6HgSOQKNw81lyY46Zc7U_Cj72hBMp9U/edit?usp=share_link"",""นครสวรรค์!J599"")+IMPORTRANGE(""https://docs.google.com/spreadsheets/d/1gFVb7qd7amutrIxAA"&amp;"oM7lcy35hllxznovot8lyOfvDo/edit?usp=share_link"",""น่าน!J599"")+IMPORTRANGE(""https://docs.google.com/spreadsheets/d/1K0Aa9s-6EuHE5M0FG1F9aHLXRCOV917xvycTdLdct0w/edit?usp=share_link"",""พะเยา!J599"")+IMPORTRANGE(""https://docs.google.com/spreadsheets/d/1Y"&amp;"9LPKx95PyL5OKy09d-KbKJSuuEZCFdkhYjwC0XQjBA/edit?usp=share_link"",""พิจิตร!J599"")+IMPORTRANGE(""https://docs.google.com/spreadsheets/d/16OMuOwy2eVqZcYWOouQtTpa8X1L23h4660uVHc0C8os/edit?usp=share_link"",""พิษณุโลก!J599"")+IMPORTRANGE(""https://docs.google."&amp;"com/spreadsheets/d/1GfgTldLG6k77HXaMQzaafODklYuucJZQNs_GAPEfZyY/edit?usp=share_link"",""เพชรบูรณ์!J599"")+IMPORTRANGE(""https://docs.google.com/spreadsheets/d/1gvTMYAnm7v1yG1BKWFtr0DnaTsq59oW9dwWvFgq6hs0/edit?usp=share_link"",""แพร่!J599"")+IMPORTRANGE("""&amp;"https://docs.google.com/spreadsheets/d/1Wbcosgy-Xa1xXUArJSOenub6EfZHUSzc_bpJFWwQUf0/edit?usp=share_link"",""แม่ฮ่องสอน!J599"")+IMPORTRANGE(""https://docs.google.com/spreadsheets/d/1p7ERhsr0qZeSn-KSOdeHS9r0heI-lHtkcn2OH7hP0jQ/edit?usp=share_link"",""ลำปาง!"&amp;"J599"")+IMPORTRANGE(""https://docs.google.com/spreadsheets/d/1-uUXvimVhiU2U0bMN-xi2te0tS4X7DI2GLPnMjzl8cA/edit?usp=share_link"",""ลำพูน!J599"")+IMPORTRANGE(""https://docs.google.com/spreadsheets/d/17HrOaa5pBUI1onckFfumXB8xlg35qb2uBAFfF1D-Myo/edit?usp=shar"&amp;"e_link"",""สุโขทัย!J599"")+IMPORTRANGE(""https://docs.google.com/spreadsheets/d/1ubs5cl16eYL9gHbdHTJtmtYb9MGzHBs7CAphn8kNCgM/edit?usp=share_link"",""อุตรดิตถ์!J599"")+IMPORTRANGE(""https://docs.google.com/spreadsheets/d/1kII0BjS6CtVrBvI8IrytgPdxDrlyQDyigz"&amp;"MsohRtDMs/edit?usp=share_link"",""อุทัยธานี!J599"")
"),2852.49)</f>
        <v>2852.49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74"/>
      <c r="C600" s="574"/>
      <c r="D600" s="574"/>
      <c r="E600" s="586"/>
      <c r="F600" s="586"/>
      <c r="G600" s="175"/>
      <c r="H600" s="182" t="s">
        <v>34</v>
      </c>
      <c r="I600" s="37"/>
      <c r="J600" s="183">
        <f ca="1">IFERROR(__xludf.DUMMYFUNCTION("IMPORTRANGE(""https://docs.google.com/spreadsheets/d/1KxicF4apzSqm0-jIpmueT4kyZtE-Cwn5zskl7GD4loQ/edit?usp=share_link"",""กำแพงเพชร!J600"")+IMPORTRANGE(""https://docs.google.com/spreadsheets/d/1ZNYWeiFoFA1K1U4xKWqRX29MBvEyRHXORjo734Gnq_c/edit?usp=share_li"&amp;"nk"",""เชียงราย!J600"")
+IMPORTRANGE(""https://docs.google.com/spreadsheets/d/1Jgv0Y7YlHDtsiDawwp-uvifEJ8HVaSn0k2aGHG8-hwM/edit?usp=share_link"",""เชียงใหม่!J600"")+IMPORTRANGE(""https://docs.google.com/spreadsheets/d/1JWG2rZePOz9pe-f-ObA-yDr0VoOX2kSb0qIi"&amp;"x2mTUo8/edit?usp=share_link"",""ตาก!J600"")+IMPORTRANGE(""https://docs.google.com/spreadsheets/d/10nSRjK08hx8Y6HgSOQKNw81lyY46Zc7U_Cj72hBMp9U/edit?usp=share_link"",""นครสวรรค์!J600"")+IMPORTRANGE(""https://docs.google.com/spreadsheets/d/1gFVb7qd7amutrIxAA"&amp;"oM7lcy35hllxznovot8lyOfvDo/edit?usp=share_link"",""น่าน!J600"")+IMPORTRANGE(""https://docs.google.com/spreadsheets/d/1K0Aa9s-6EuHE5M0FG1F9aHLXRCOV917xvycTdLdct0w/edit?usp=share_link"",""พะเยา!J600"")+IMPORTRANGE(""https://docs.google.com/spreadsheets/d/1Y"&amp;"9LPKx95PyL5OKy09d-KbKJSuuEZCFdkhYjwC0XQjBA/edit?usp=share_link"",""พิจิตร!J600"")+IMPORTRANGE(""https://docs.google.com/spreadsheets/d/16OMuOwy2eVqZcYWOouQtTpa8X1L23h4660uVHc0C8os/edit?usp=share_link"",""พิษณุโลก!J600"")+IMPORTRANGE(""https://docs.google."&amp;"com/spreadsheets/d/1GfgTldLG6k77HXaMQzaafODklYuucJZQNs_GAPEfZyY/edit?usp=share_link"",""เพชรบูรณ์!J600"")+IMPORTRANGE(""https://docs.google.com/spreadsheets/d/1gvTMYAnm7v1yG1BKWFtr0DnaTsq59oW9dwWvFgq6hs0/edit?usp=share_link"",""แพร่!J600"")+IMPORTRANGE("""&amp;"https://docs.google.com/spreadsheets/d/1Wbcosgy-Xa1xXUArJSOenub6EfZHUSzc_bpJFWwQUf0/edit?usp=share_link"",""แม่ฮ่องสอน!J600"")+IMPORTRANGE(""https://docs.google.com/spreadsheets/d/1p7ERhsr0qZeSn-KSOdeHS9r0heI-lHtkcn2OH7hP0jQ/edit?usp=share_link"",""ลำปาง!"&amp;"J600"")+IMPORTRANGE(""https://docs.google.com/spreadsheets/d/1-uUXvimVhiU2U0bMN-xi2te0tS4X7DI2GLPnMjzl8cA/edit?usp=share_link"",""ลำพูน!J600"")+IMPORTRANGE(""https://docs.google.com/spreadsheets/d/17HrOaa5pBUI1onckFfumXB8xlg35qb2uBAFfF1D-Myo/edit?usp=shar"&amp;"e_link"",""สุโขทัย!J600"")+IMPORTRANGE(""https://docs.google.com/spreadsheets/d/1ubs5cl16eYL9gHbdHTJtmtYb9MGzHBs7CAphn8kNCgM/edit?usp=share_link"",""อุตรดิตถ์!J600"")+IMPORTRANGE(""https://docs.google.com/spreadsheets/d/1kII0BjS6CtVrBvI8IrytgPdxDrlyQDyigz"&amp;"MsohRtDMs/edit?usp=share_link"",""อุทัยธานี!J600"")
"),382)</f>
        <v>382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74"/>
      <c r="C601" s="574"/>
      <c r="D601" s="263" t="s">
        <v>256</v>
      </c>
      <c r="E601" s="586"/>
      <c r="F601" s="586"/>
      <c r="G601" s="175"/>
      <c r="H601" s="182" t="s">
        <v>46</v>
      </c>
      <c r="I601" s="37"/>
      <c r="J601" s="183">
        <f ca="1">IFERROR(__xludf.DUMMYFUNCTION("IMPORTRANGE(""https://docs.google.com/spreadsheets/d/1KxicF4apzSqm0-jIpmueT4kyZtE-Cwn5zskl7GD4loQ/edit?usp=share_link"",""กำแพงเพชร!J601"")+IMPORTRANGE(""https://docs.google.com/spreadsheets/d/1ZNYWeiFoFA1K1U4xKWqRX29MBvEyRHXORjo734Gnq_c/edit?usp=share_li"&amp;"nk"",""เชียงราย!J601"")
+IMPORTRANGE(""https://docs.google.com/spreadsheets/d/1Jgv0Y7YlHDtsiDawwp-uvifEJ8HVaSn0k2aGHG8-hwM/edit?usp=share_link"",""เชียงใหม่!J601"")+IMPORTRANGE(""https://docs.google.com/spreadsheets/d/1JWG2rZePOz9pe-f-ObA-yDr0VoOX2kSb0qIi"&amp;"x2mTUo8/edit?usp=share_link"",""ตาก!J601"")+IMPORTRANGE(""https://docs.google.com/spreadsheets/d/10nSRjK08hx8Y6HgSOQKNw81lyY46Zc7U_Cj72hBMp9U/edit?usp=share_link"",""นครสวรรค์!J601"")+IMPORTRANGE(""https://docs.google.com/spreadsheets/d/1gFVb7qd7amutrIxAA"&amp;"oM7lcy35hllxznovot8lyOfvDo/edit?usp=share_link"",""น่าน!J601"")+IMPORTRANGE(""https://docs.google.com/spreadsheets/d/1K0Aa9s-6EuHE5M0FG1F9aHLXRCOV917xvycTdLdct0w/edit?usp=share_link"",""พะเยา!J601"")+IMPORTRANGE(""https://docs.google.com/spreadsheets/d/1Y"&amp;"9LPKx95PyL5OKy09d-KbKJSuuEZCFdkhYjwC0XQjBA/edit?usp=share_link"",""พิจิตร!J601"")+IMPORTRANGE(""https://docs.google.com/spreadsheets/d/16OMuOwy2eVqZcYWOouQtTpa8X1L23h4660uVHc0C8os/edit?usp=share_link"",""พิษณุโลก!J601"")+IMPORTRANGE(""https://docs.google."&amp;"com/spreadsheets/d/1GfgTldLG6k77HXaMQzaafODklYuucJZQNs_GAPEfZyY/edit?usp=share_link"",""เพชรบูรณ์!J601"")+IMPORTRANGE(""https://docs.google.com/spreadsheets/d/1gvTMYAnm7v1yG1BKWFtr0DnaTsq59oW9dwWvFgq6hs0/edit?usp=share_link"",""แพร่!J601"")+IMPORTRANGE("""&amp;"https://docs.google.com/spreadsheets/d/1Wbcosgy-Xa1xXUArJSOenub6EfZHUSzc_bpJFWwQUf0/edit?usp=share_link"",""แม่ฮ่องสอน!J601"")+IMPORTRANGE(""https://docs.google.com/spreadsheets/d/1p7ERhsr0qZeSn-KSOdeHS9r0heI-lHtkcn2OH7hP0jQ/edit?usp=share_link"",""ลำปาง!"&amp;"J601"")+IMPORTRANGE(""https://docs.google.com/spreadsheets/d/1-uUXvimVhiU2U0bMN-xi2te0tS4X7DI2GLPnMjzl8cA/edit?usp=share_link"",""ลำพูน!J601"")+IMPORTRANGE(""https://docs.google.com/spreadsheets/d/17HrOaa5pBUI1onckFfumXB8xlg35qb2uBAFfF1D-Myo/edit?usp=shar"&amp;"e_link"",""สุโขทัย!J601"")+IMPORTRANGE(""https://docs.google.com/spreadsheets/d/1ubs5cl16eYL9gHbdHTJtmtYb9MGzHBs7CAphn8kNCgM/edit?usp=share_link"",""อุตรดิตถ์!J601"")+IMPORTRANGE(""https://docs.google.com/spreadsheets/d/1kII0BjS6CtVrBvI8IrytgPdxDrlyQDyigz"&amp;"MsohRtDMs/edit?usp=share_link"",""อุทัยธานี!J601"")
"),0)</f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74"/>
      <c r="C602" s="574"/>
      <c r="D602" s="574"/>
      <c r="E602" s="586"/>
      <c r="F602" s="586"/>
      <c r="G602" s="175"/>
      <c r="H602" s="182" t="s">
        <v>34</v>
      </c>
      <c r="I602" s="37"/>
      <c r="J602" s="183">
        <f ca="1">IFERROR(__xludf.DUMMYFUNCTION("IMPORTRANGE(""https://docs.google.com/spreadsheets/d/1KxicF4apzSqm0-jIpmueT4kyZtE-Cwn5zskl7GD4loQ/edit?usp=share_link"",""กำแพงเพชร!J602"")+IMPORTRANGE(""https://docs.google.com/spreadsheets/d/1ZNYWeiFoFA1K1U4xKWqRX29MBvEyRHXORjo734Gnq_c/edit?usp=share_li"&amp;"nk"",""เชียงราย!J602"")
+IMPORTRANGE(""https://docs.google.com/spreadsheets/d/1Jgv0Y7YlHDtsiDawwp-uvifEJ8HVaSn0k2aGHG8-hwM/edit?usp=share_link"",""เชียงใหม่!J602"")+IMPORTRANGE(""https://docs.google.com/spreadsheets/d/1JWG2rZePOz9pe-f-ObA-yDr0VoOX2kSb0qIi"&amp;"x2mTUo8/edit?usp=share_link"",""ตาก!J602"")+IMPORTRANGE(""https://docs.google.com/spreadsheets/d/10nSRjK08hx8Y6HgSOQKNw81lyY46Zc7U_Cj72hBMp9U/edit?usp=share_link"",""นครสวรรค์!J602"")+IMPORTRANGE(""https://docs.google.com/spreadsheets/d/1gFVb7qd7amutrIxAA"&amp;"oM7lcy35hllxznovot8lyOfvDo/edit?usp=share_link"",""น่าน!J602"")+IMPORTRANGE(""https://docs.google.com/spreadsheets/d/1K0Aa9s-6EuHE5M0FG1F9aHLXRCOV917xvycTdLdct0w/edit?usp=share_link"",""พะเยา!J602"")+IMPORTRANGE(""https://docs.google.com/spreadsheets/d/1Y"&amp;"9LPKx95PyL5OKy09d-KbKJSuuEZCFdkhYjwC0XQjBA/edit?usp=share_link"",""พิจิตร!J602"")+IMPORTRANGE(""https://docs.google.com/spreadsheets/d/16OMuOwy2eVqZcYWOouQtTpa8X1L23h4660uVHc0C8os/edit?usp=share_link"",""พิษณุโลก!J602"")+IMPORTRANGE(""https://docs.google."&amp;"com/spreadsheets/d/1GfgTldLG6k77HXaMQzaafODklYuucJZQNs_GAPEfZyY/edit?usp=share_link"",""เพชรบูรณ์!J602"")+IMPORTRANGE(""https://docs.google.com/spreadsheets/d/1gvTMYAnm7v1yG1BKWFtr0DnaTsq59oW9dwWvFgq6hs0/edit?usp=share_link"",""แพร่!J602"")+IMPORTRANGE("""&amp;"https://docs.google.com/spreadsheets/d/1Wbcosgy-Xa1xXUArJSOenub6EfZHUSzc_bpJFWwQUf0/edit?usp=share_link"",""แม่ฮ่องสอน!J602"")+IMPORTRANGE(""https://docs.google.com/spreadsheets/d/1p7ERhsr0qZeSn-KSOdeHS9r0heI-lHtkcn2OH7hP0jQ/edit?usp=share_link"",""ลำปาง!"&amp;"J602"")+IMPORTRANGE(""https://docs.google.com/spreadsheets/d/1-uUXvimVhiU2U0bMN-xi2te0tS4X7DI2GLPnMjzl8cA/edit?usp=share_link"",""ลำพูน!J602"")+IMPORTRANGE(""https://docs.google.com/spreadsheets/d/17HrOaa5pBUI1onckFfumXB8xlg35qb2uBAFfF1D-Myo/edit?usp=shar"&amp;"e_link"",""สุโขทัย!J602"")+IMPORTRANGE(""https://docs.google.com/spreadsheets/d/1ubs5cl16eYL9gHbdHTJtmtYb9MGzHBs7CAphn8kNCgM/edit?usp=share_link"",""อุตรดิตถ์!J602"")+IMPORTRANGE(""https://docs.google.com/spreadsheets/d/1kII0BjS6CtVrBvI8IrytgPdxDrlyQDyigz"&amp;"MsohRtDMs/edit?usp=share_link"",""อุทัยธานี!J602"")
"),0)</f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74"/>
      <c r="C603" s="672" t="s">
        <v>257</v>
      </c>
      <c r="D603" s="574"/>
      <c r="E603" s="574"/>
      <c r="F603" s="586"/>
      <c r="G603" s="175"/>
      <c r="H603" s="182" t="s">
        <v>46</v>
      </c>
      <c r="I603" s="37"/>
      <c r="J603" s="37">
        <f t="shared" ref="J603:J604" ca="1" si="295">J605+J607</f>
        <v>251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74"/>
      <c r="C604" s="574"/>
      <c r="D604" s="574"/>
      <c r="E604" s="586"/>
      <c r="F604" s="586"/>
      <c r="G604" s="175"/>
      <c r="H604" s="182" t="s">
        <v>34</v>
      </c>
      <c r="I604" s="37"/>
      <c r="J604" s="37">
        <f t="shared" ca="1" si="295"/>
        <v>25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74"/>
      <c r="C605" s="574"/>
      <c r="D605" s="672" t="s">
        <v>258</v>
      </c>
      <c r="E605" s="586"/>
      <c r="F605" s="586"/>
      <c r="G605" s="175"/>
      <c r="H605" s="182" t="s">
        <v>46</v>
      </c>
      <c r="I605" s="37"/>
      <c r="J605" s="183">
        <f ca="1">IFERROR(__xludf.DUMMYFUNCTION("IMPORTRANGE(""https://docs.google.com/spreadsheets/d/1KxicF4apzSqm0-jIpmueT4kyZtE-Cwn5zskl7GD4loQ/edit?usp=share_link"",""กำแพงเพชร!J605"")+IMPORTRANGE(""https://docs.google.com/spreadsheets/d/1ZNYWeiFoFA1K1U4xKWqRX29MBvEyRHXORjo734Gnq_c/edit?usp=share_li"&amp;"nk"",""เชียงราย!J605"")
+IMPORTRANGE(""https://docs.google.com/spreadsheets/d/1Jgv0Y7YlHDtsiDawwp-uvifEJ8HVaSn0k2aGHG8-hwM/edit?usp=share_link"",""เชียงใหม่!J605"")+IMPORTRANGE(""https://docs.google.com/spreadsheets/d/1JWG2rZePOz9pe-f-ObA-yDr0VoOX2kSb0qIi"&amp;"x2mTUo8/edit?usp=share_link"",""ตาก!J605"")+IMPORTRANGE(""https://docs.google.com/spreadsheets/d/10nSRjK08hx8Y6HgSOQKNw81lyY46Zc7U_Cj72hBMp9U/edit?usp=share_link"",""นครสวรรค์!J605"")+IMPORTRANGE(""https://docs.google.com/spreadsheets/d/1gFVb7qd7amutrIxAA"&amp;"oM7lcy35hllxznovot8lyOfvDo/edit?usp=share_link"",""น่าน!J605"")+IMPORTRANGE(""https://docs.google.com/spreadsheets/d/1K0Aa9s-6EuHE5M0FG1F9aHLXRCOV917xvycTdLdct0w/edit?usp=share_link"",""พะเยา!J605"")+IMPORTRANGE(""https://docs.google.com/spreadsheets/d/1Y"&amp;"9LPKx95PyL5OKy09d-KbKJSuuEZCFdkhYjwC0XQjBA/edit?usp=share_link"",""พิจิตร!J605"")+IMPORTRANGE(""https://docs.google.com/spreadsheets/d/16OMuOwy2eVqZcYWOouQtTpa8X1L23h4660uVHc0C8os/edit?usp=share_link"",""พิษณุโลก!J605"")+IMPORTRANGE(""https://docs.google."&amp;"com/spreadsheets/d/1GfgTldLG6k77HXaMQzaafODklYuucJZQNs_GAPEfZyY/edit?usp=share_link"",""เพชรบูรณ์!J605"")+IMPORTRANGE(""https://docs.google.com/spreadsheets/d/1gvTMYAnm7v1yG1BKWFtr0DnaTsq59oW9dwWvFgq6hs0/edit?usp=share_link"",""แพร่!J605"")+IMPORTRANGE("""&amp;"https://docs.google.com/spreadsheets/d/1Wbcosgy-Xa1xXUArJSOenub6EfZHUSzc_bpJFWwQUf0/edit?usp=share_link"",""แม่ฮ่องสอน!J605"")+IMPORTRANGE(""https://docs.google.com/spreadsheets/d/1p7ERhsr0qZeSn-KSOdeHS9r0heI-lHtkcn2OH7hP0jQ/edit?usp=share_link"",""ลำปาง!"&amp;"J605"")+IMPORTRANGE(""https://docs.google.com/spreadsheets/d/1-uUXvimVhiU2U0bMN-xi2te0tS4X7DI2GLPnMjzl8cA/edit?usp=share_link"",""ลำพูน!J605"")+IMPORTRANGE(""https://docs.google.com/spreadsheets/d/17HrOaa5pBUI1onckFfumXB8xlg35qb2uBAFfF1D-Myo/edit?usp=shar"&amp;"e_link"",""สุโขทัย!J605"")+IMPORTRANGE(""https://docs.google.com/spreadsheets/d/1ubs5cl16eYL9gHbdHTJtmtYb9MGzHBs7CAphn8kNCgM/edit?usp=share_link"",""อุตรดิตถ์!J605"")+IMPORTRANGE(""https://docs.google.com/spreadsheets/d/1kII0BjS6CtVrBvI8IrytgPdxDrlyQDyigz"&amp;"MsohRtDMs/edit?usp=share_link"",""อุทัยธานี!J605"")
"),233)</f>
        <v>233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74"/>
      <c r="C606" s="574"/>
      <c r="D606" s="574"/>
      <c r="E606" s="574"/>
      <c r="F606" s="586"/>
      <c r="G606" s="175"/>
      <c r="H606" s="182" t="s">
        <v>34</v>
      </c>
      <c r="I606" s="37"/>
      <c r="J606" s="183">
        <f ca="1">IFERROR(__xludf.DUMMYFUNCTION("IMPORTRANGE(""https://docs.google.com/spreadsheets/d/1KxicF4apzSqm0-jIpmueT4kyZtE-Cwn5zskl7GD4loQ/edit?usp=share_link"",""กำแพงเพชร!J606"")+IMPORTRANGE(""https://docs.google.com/spreadsheets/d/1ZNYWeiFoFA1K1U4xKWqRX29MBvEyRHXORjo734Gnq_c/edit?usp=share_li"&amp;"nk"",""เชียงราย!J606"")
+IMPORTRANGE(""https://docs.google.com/spreadsheets/d/1Jgv0Y7YlHDtsiDawwp-uvifEJ8HVaSn0k2aGHG8-hwM/edit?usp=share_link"",""เชียงใหม่!J606"")+IMPORTRANGE(""https://docs.google.com/spreadsheets/d/1JWG2rZePOz9pe-f-ObA-yDr0VoOX2kSb0qIi"&amp;"x2mTUo8/edit?usp=share_link"",""ตาก!J606"")+IMPORTRANGE(""https://docs.google.com/spreadsheets/d/10nSRjK08hx8Y6HgSOQKNw81lyY46Zc7U_Cj72hBMp9U/edit?usp=share_link"",""นครสวรรค์!J606"")+IMPORTRANGE(""https://docs.google.com/spreadsheets/d/1gFVb7qd7amutrIxAA"&amp;"oM7lcy35hllxznovot8lyOfvDo/edit?usp=share_link"",""น่าน!J606"")+IMPORTRANGE(""https://docs.google.com/spreadsheets/d/1K0Aa9s-6EuHE5M0FG1F9aHLXRCOV917xvycTdLdct0w/edit?usp=share_link"",""พะเยา!J606"")+IMPORTRANGE(""https://docs.google.com/spreadsheets/d/1Y"&amp;"9LPKx95PyL5OKy09d-KbKJSuuEZCFdkhYjwC0XQjBA/edit?usp=share_link"",""พิจิตร!J606"")+IMPORTRANGE(""https://docs.google.com/spreadsheets/d/16OMuOwy2eVqZcYWOouQtTpa8X1L23h4660uVHc0C8os/edit?usp=share_link"",""พิษณุโลก!J606"")+IMPORTRANGE(""https://docs.google."&amp;"com/spreadsheets/d/1GfgTldLG6k77HXaMQzaafODklYuucJZQNs_GAPEfZyY/edit?usp=share_link"",""เพชรบูรณ์!J606"")+IMPORTRANGE(""https://docs.google.com/spreadsheets/d/1gvTMYAnm7v1yG1BKWFtr0DnaTsq59oW9dwWvFgq6hs0/edit?usp=share_link"",""แพร่!J606"")+IMPORTRANGE("""&amp;"https://docs.google.com/spreadsheets/d/1Wbcosgy-Xa1xXUArJSOenub6EfZHUSzc_bpJFWwQUf0/edit?usp=share_link"",""แม่ฮ่องสอน!J606"")+IMPORTRANGE(""https://docs.google.com/spreadsheets/d/1p7ERhsr0qZeSn-KSOdeHS9r0heI-lHtkcn2OH7hP0jQ/edit?usp=share_link"",""ลำปาง!"&amp;"J606"")+IMPORTRANGE(""https://docs.google.com/spreadsheets/d/1-uUXvimVhiU2U0bMN-xi2te0tS4X7DI2GLPnMjzl8cA/edit?usp=share_link"",""ลำพูน!J606"")+IMPORTRANGE(""https://docs.google.com/spreadsheets/d/17HrOaa5pBUI1onckFfumXB8xlg35qb2uBAFfF1D-Myo/edit?usp=shar"&amp;"e_link"",""สุโขทัย!J606"")+IMPORTRANGE(""https://docs.google.com/spreadsheets/d/1ubs5cl16eYL9gHbdHTJtmtYb9MGzHBs7CAphn8kNCgM/edit?usp=share_link"",""อุตรดิตถ์!J606"")+IMPORTRANGE(""https://docs.google.com/spreadsheets/d/1kII0BjS6CtVrBvI8IrytgPdxDrlyQDyigz"&amp;"MsohRtDMs/edit?usp=share_link"",""อุทัยธานี!J606"")
"),24)</f>
        <v>24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74"/>
      <c r="C607" s="574"/>
      <c r="D607" s="672" t="s">
        <v>259</v>
      </c>
      <c r="E607" s="574"/>
      <c r="F607" s="586"/>
      <c r="G607" s="175"/>
      <c r="H607" s="182" t="s">
        <v>46</v>
      </c>
      <c r="I607" s="37"/>
      <c r="J607" s="183">
        <f ca="1">IFERROR(__xludf.DUMMYFUNCTION("IMPORTRANGE(""https://docs.google.com/spreadsheets/d/1KxicF4apzSqm0-jIpmueT4kyZtE-Cwn5zskl7GD4loQ/edit?usp=share_link"",""กำแพงเพชร!J607"")+IMPORTRANGE(""https://docs.google.com/spreadsheets/d/1ZNYWeiFoFA1K1U4xKWqRX29MBvEyRHXORjo734Gnq_c/edit?usp=share_li"&amp;"nk"",""เชียงราย!J607"")
+IMPORTRANGE(""https://docs.google.com/spreadsheets/d/1Jgv0Y7YlHDtsiDawwp-uvifEJ8HVaSn0k2aGHG8-hwM/edit?usp=share_link"",""เชียงใหม่!J607"")+IMPORTRANGE(""https://docs.google.com/spreadsheets/d/1JWG2rZePOz9pe-f-ObA-yDr0VoOX2kSb0qIi"&amp;"x2mTUo8/edit?usp=share_link"",""ตาก!J607"")+IMPORTRANGE(""https://docs.google.com/spreadsheets/d/10nSRjK08hx8Y6HgSOQKNw81lyY46Zc7U_Cj72hBMp9U/edit?usp=share_link"",""นครสวรรค์!J607"")+IMPORTRANGE(""https://docs.google.com/spreadsheets/d/1gFVb7qd7amutrIxAA"&amp;"oM7lcy35hllxznovot8lyOfvDo/edit?usp=share_link"",""น่าน!J607"")+IMPORTRANGE(""https://docs.google.com/spreadsheets/d/1K0Aa9s-6EuHE5M0FG1F9aHLXRCOV917xvycTdLdct0w/edit?usp=share_link"",""พะเยา!J607"")+IMPORTRANGE(""https://docs.google.com/spreadsheets/d/1Y"&amp;"9LPKx95PyL5OKy09d-KbKJSuuEZCFdkhYjwC0XQjBA/edit?usp=share_link"",""พิจิตร!J607"")+IMPORTRANGE(""https://docs.google.com/spreadsheets/d/16OMuOwy2eVqZcYWOouQtTpa8X1L23h4660uVHc0C8os/edit?usp=share_link"",""พิษณุโลก!J607"")+IMPORTRANGE(""https://docs.google."&amp;"com/spreadsheets/d/1GfgTldLG6k77HXaMQzaafODklYuucJZQNs_GAPEfZyY/edit?usp=share_link"",""เพชรบูรณ์!J607"")+IMPORTRANGE(""https://docs.google.com/spreadsheets/d/1gvTMYAnm7v1yG1BKWFtr0DnaTsq59oW9dwWvFgq6hs0/edit?usp=share_link"",""แพร่!J607"")+IMPORTRANGE("""&amp;"https://docs.google.com/spreadsheets/d/1Wbcosgy-Xa1xXUArJSOenub6EfZHUSzc_bpJFWwQUf0/edit?usp=share_link"",""แม่ฮ่องสอน!J607"")+IMPORTRANGE(""https://docs.google.com/spreadsheets/d/1p7ERhsr0qZeSn-KSOdeHS9r0heI-lHtkcn2OH7hP0jQ/edit?usp=share_link"",""ลำปาง!"&amp;"J607"")+IMPORTRANGE(""https://docs.google.com/spreadsheets/d/1-uUXvimVhiU2U0bMN-xi2te0tS4X7DI2GLPnMjzl8cA/edit?usp=share_link"",""ลำพูน!J607"")+IMPORTRANGE(""https://docs.google.com/spreadsheets/d/17HrOaa5pBUI1onckFfumXB8xlg35qb2uBAFfF1D-Myo/edit?usp=shar"&amp;"e_link"",""สุโขทัย!J607"")+IMPORTRANGE(""https://docs.google.com/spreadsheets/d/1ubs5cl16eYL9gHbdHTJtmtYb9MGzHBs7CAphn8kNCgM/edit?usp=share_link"",""อุตรดิตถ์!J607"")+IMPORTRANGE(""https://docs.google.com/spreadsheets/d/1kII0BjS6CtVrBvI8IrytgPdxDrlyQDyigz"&amp;"MsohRtDMs/edit?usp=share_link"",""อุทัยธานี!J607"")
"),18)</f>
        <v>18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74"/>
      <c r="C608" s="574"/>
      <c r="D608" s="574"/>
      <c r="E608" s="586"/>
      <c r="F608" s="586"/>
      <c r="G608" s="175"/>
      <c r="H608" s="182" t="s">
        <v>34</v>
      </c>
      <c r="I608" s="37"/>
      <c r="J608" s="183">
        <f ca="1">IFERROR(__xludf.DUMMYFUNCTION("IMPORTRANGE(""https://docs.google.com/spreadsheets/d/1KxicF4apzSqm0-jIpmueT4kyZtE-Cwn5zskl7GD4loQ/edit?usp=share_link"",""กำแพงเพชร!J608"")+IMPORTRANGE(""https://docs.google.com/spreadsheets/d/1ZNYWeiFoFA1K1U4xKWqRX29MBvEyRHXORjo734Gnq_c/edit?usp=share_li"&amp;"nk"",""เชียงราย!J608"")
+IMPORTRANGE(""https://docs.google.com/spreadsheets/d/1Jgv0Y7YlHDtsiDawwp-uvifEJ8HVaSn0k2aGHG8-hwM/edit?usp=share_link"",""เชียงใหม่!J608"")+IMPORTRANGE(""https://docs.google.com/spreadsheets/d/1JWG2rZePOz9pe-f-ObA-yDr0VoOX2kSb0qIi"&amp;"x2mTUo8/edit?usp=share_link"",""ตาก!J608"")+IMPORTRANGE(""https://docs.google.com/spreadsheets/d/10nSRjK08hx8Y6HgSOQKNw81lyY46Zc7U_Cj72hBMp9U/edit?usp=share_link"",""นครสวรรค์!J608"")+IMPORTRANGE(""https://docs.google.com/spreadsheets/d/1gFVb7qd7amutrIxAA"&amp;"oM7lcy35hllxznovot8lyOfvDo/edit?usp=share_link"",""น่าน!J608"")+IMPORTRANGE(""https://docs.google.com/spreadsheets/d/1K0Aa9s-6EuHE5M0FG1F9aHLXRCOV917xvycTdLdct0w/edit?usp=share_link"",""พะเยา!J608"")+IMPORTRANGE(""https://docs.google.com/spreadsheets/d/1Y"&amp;"9LPKx95PyL5OKy09d-KbKJSuuEZCFdkhYjwC0XQjBA/edit?usp=share_link"",""พิจิตร!J608"")+IMPORTRANGE(""https://docs.google.com/spreadsheets/d/16OMuOwy2eVqZcYWOouQtTpa8X1L23h4660uVHc0C8os/edit?usp=share_link"",""พิษณุโลก!J608"")+IMPORTRANGE(""https://docs.google."&amp;"com/spreadsheets/d/1GfgTldLG6k77HXaMQzaafODklYuucJZQNs_GAPEfZyY/edit?usp=share_link"",""เพชรบูรณ์!J608"")+IMPORTRANGE(""https://docs.google.com/spreadsheets/d/1gvTMYAnm7v1yG1BKWFtr0DnaTsq59oW9dwWvFgq6hs0/edit?usp=share_link"",""แพร่!J608"")+IMPORTRANGE("""&amp;"https://docs.google.com/spreadsheets/d/1Wbcosgy-Xa1xXUArJSOenub6EfZHUSzc_bpJFWwQUf0/edit?usp=share_link"",""แม่ฮ่องสอน!J608"")+IMPORTRANGE(""https://docs.google.com/spreadsheets/d/1p7ERhsr0qZeSn-KSOdeHS9r0heI-lHtkcn2OH7hP0jQ/edit?usp=share_link"",""ลำปาง!"&amp;"J608"")+IMPORTRANGE(""https://docs.google.com/spreadsheets/d/1-uUXvimVhiU2U0bMN-xi2te0tS4X7DI2GLPnMjzl8cA/edit?usp=share_link"",""ลำพูน!J608"")+IMPORTRANGE(""https://docs.google.com/spreadsheets/d/17HrOaa5pBUI1onckFfumXB8xlg35qb2uBAFfF1D-Myo/edit?usp=shar"&amp;"e_link"",""สุโขทัย!J608"")+IMPORTRANGE(""https://docs.google.com/spreadsheets/d/1ubs5cl16eYL9gHbdHTJtmtYb9MGzHBs7CAphn8kNCgM/edit?usp=share_link"",""อุตรดิตถ์!J608"")+IMPORTRANGE(""https://docs.google.com/spreadsheets/d/1kII0BjS6CtVrBvI8IrytgPdxDrlyQDyigz"&amp;"MsohRtDMs/edit?usp=share_link"",""อุทัยธานี!J608"")
"),1)</f>
        <v>1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74"/>
      <c r="C609" s="585" t="s">
        <v>260</v>
      </c>
      <c r="D609" s="574"/>
      <c r="E609" s="574"/>
      <c r="F609" s="586"/>
      <c r="G609" s="175"/>
      <c r="H609" s="182" t="s">
        <v>46</v>
      </c>
      <c r="I609" s="37"/>
      <c r="J609" s="183">
        <f ca="1">IFERROR(__xludf.DUMMYFUNCTION("IMPORTRANGE(""https://docs.google.com/spreadsheets/d/1KxicF4apzSqm0-jIpmueT4kyZtE-Cwn5zskl7GD4loQ/edit?usp=share_link"",""กำแพงเพชร!J609"")+IMPORTRANGE(""https://docs.google.com/spreadsheets/d/1ZNYWeiFoFA1K1U4xKWqRX29MBvEyRHXORjo734Gnq_c/edit?usp=share_li"&amp;"nk"",""เชียงราย!J609"")
+IMPORTRANGE(""https://docs.google.com/spreadsheets/d/1Jgv0Y7YlHDtsiDawwp-uvifEJ8HVaSn0k2aGHG8-hwM/edit?usp=share_link"",""เชียงใหม่!J609"")+IMPORTRANGE(""https://docs.google.com/spreadsheets/d/1JWG2rZePOz9pe-f-ObA-yDr0VoOX2kSb0qIi"&amp;"x2mTUo8/edit?usp=share_link"",""ตาก!J609"")+IMPORTRANGE(""https://docs.google.com/spreadsheets/d/10nSRjK08hx8Y6HgSOQKNw81lyY46Zc7U_Cj72hBMp9U/edit?usp=share_link"",""นครสวรรค์!J609"")+IMPORTRANGE(""https://docs.google.com/spreadsheets/d/1gFVb7qd7amutrIxAA"&amp;"oM7lcy35hllxznovot8lyOfvDo/edit?usp=share_link"",""น่าน!J609"")+IMPORTRANGE(""https://docs.google.com/spreadsheets/d/1K0Aa9s-6EuHE5M0FG1F9aHLXRCOV917xvycTdLdct0w/edit?usp=share_link"",""พะเยา!J609"")+IMPORTRANGE(""https://docs.google.com/spreadsheets/d/1Y"&amp;"9LPKx95PyL5OKy09d-KbKJSuuEZCFdkhYjwC0XQjBA/edit?usp=share_link"",""พิจิตร!J609"")+IMPORTRANGE(""https://docs.google.com/spreadsheets/d/16OMuOwy2eVqZcYWOouQtTpa8X1L23h4660uVHc0C8os/edit?usp=share_link"",""พิษณุโลก!J609"")+IMPORTRANGE(""https://docs.google."&amp;"com/spreadsheets/d/1GfgTldLG6k77HXaMQzaafODklYuucJZQNs_GAPEfZyY/edit?usp=share_link"",""เพชรบูรณ์!J609"")+IMPORTRANGE(""https://docs.google.com/spreadsheets/d/1gvTMYAnm7v1yG1BKWFtr0DnaTsq59oW9dwWvFgq6hs0/edit?usp=share_link"",""แพร่!J609"")+IMPORTRANGE("""&amp;"https://docs.google.com/spreadsheets/d/1Wbcosgy-Xa1xXUArJSOenub6EfZHUSzc_bpJFWwQUf0/edit?usp=share_link"",""แม่ฮ่องสอน!J609"")+IMPORTRANGE(""https://docs.google.com/spreadsheets/d/1p7ERhsr0qZeSn-KSOdeHS9r0heI-lHtkcn2OH7hP0jQ/edit?usp=share_link"",""ลำปาง!"&amp;"J609"")+IMPORTRANGE(""https://docs.google.com/spreadsheets/d/1-uUXvimVhiU2U0bMN-xi2te0tS4X7DI2GLPnMjzl8cA/edit?usp=share_link"",""ลำพูน!J609"")+IMPORTRANGE(""https://docs.google.com/spreadsheets/d/17HrOaa5pBUI1onckFfumXB8xlg35qb2uBAFfF1D-Myo/edit?usp=shar"&amp;"e_link"",""สุโขทัย!J609"")+IMPORTRANGE(""https://docs.google.com/spreadsheets/d/1ubs5cl16eYL9gHbdHTJtmtYb9MGzHBs7CAphn8kNCgM/edit?usp=share_link"",""อุตรดิตถ์!J609"")+IMPORTRANGE(""https://docs.google.com/spreadsheets/d/1kII0BjS6CtVrBvI8IrytgPdxDrlyQDyigz"&amp;"MsohRtDMs/edit?usp=share_link"",""อุทัยธานี!J609"")
"),0)</f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74"/>
      <c r="C610" s="574"/>
      <c r="D610" s="574"/>
      <c r="E610" s="586"/>
      <c r="F610" s="586"/>
      <c r="G610" s="175"/>
      <c r="H610" s="182" t="s">
        <v>34</v>
      </c>
      <c r="I610" s="37"/>
      <c r="J610" s="183">
        <f ca="1">IFERROR(__xludf.DUMMYFUNCTION("IMPORTRANGE(""https://docs.google.com/spreadsheets/d/1KxicF4apzSqm0-jIpmueT4kyZtE-Cwn5zskl7GD4loQ/edit?usp=share_link"",""กำแพงเพชร!J610"")+IMPORTRANGE(""https://docs.google.com/spreadsheets/d/1ZNYWeiFoFA1K1U4xKWqRX29MBvEyRHXORjo734Gnq_c/edit?usp=share_li"&amp;"nk"",""เชียงราย!J610"")
+IMPORTRANGE(""https://docs.google.com/spreadsheets/d/1Jgv0Y7YlHDtsiDawwp-uvifEJ8HVaSn0k2aGHG8-hwM/edit?usp=share_link"",""เชียงใหม่!J610"")+IMPORTRANGE(""https://docs.google.com/spreadsheets/d/1JWG2rZePOz9pe-f-ObA-yDr0VoOX2kSb0qIi"&amp;"x2mTUo8/edit?usp=share_link"",""ตาก!J610"")+IMPORTRANGE(""https://docs.google.com/spreadsheets/d/10nSRjK08hx8Y6HgSOQKNw81lyY46Zc7U_Cj72hBMp9U/edit?usp=share_link"",""นครสวรรค์!J610"")+IMPORTRANGE(""https://docs.google.com/spreadsheets/d/1gFVb7qd7amutrIxAA"&amp;"oM7lcy35hllxznovot8lyOfvDo/edit?usp=share_link"",""น่าน!J610"")+IMPORTRANGE(""https://docs.google.com/spreadsheets/d/1K0Aa9s-6EuHE5M0FG1F9aHLXRCOV917xvycTdLdct0w/edit?usp=share_link"",""พะเยา!J610"")+IMPORTRANGE(""https://docs.google.com/spreadsheets/d/1Y"&amp;"9LPKx95PyL5OKy09d-KbKJSuuEZCFdkhYjwC0XQjBA/edit?usp=share_link"",""พิจิตร!J610"")+IMPORTRANGE(""https://docs.google.com/spreadsheets/d/16OMuOwy2eVqZcYWOouQtTpa8X1L23h4660uVHc0C8os/edit?usp=share_link"",""พิษณุโลก!J610"")+IMPORTRANGE(""https://docs.google."&amp;"com/spreadsheets/d/1GfgTldLG6k77HXaMQzaafODklYuucJZQNs_GAPEfZyY/edit?usp=share_link"",""เพชรบูรณ์!J610"")+IMPORTRANGE(""https://docs.google.com/spreadsheets/d/1gvTMYAnm7v1yG1BKWFtr0DnaTsq59oW9dwWvFgq6hs0/edit?usp=share_link"",""แพร่!J610"")+IMPORTRANGE("""&amp;"https://docs.google.com/spreadsheets/d/1Wbcosgy-Xa1xXUArJSOenub6EfZHUSzc_bpJFWwQUf0/edit?usp=share_link"",""แม่ฮ่องสอน!J610"")+IMPORTRANGE(""https://docs.google.com/spreadsheets/d/1p7ERhsr0qZeSn-KSOdeHS9r0heI-lHtkcn2OH7hP0jQ/edit?usp=share_link"",""ลำปาง!"&amp;"J610"")+IMPORTRANGE(""https://docs.google.com/spreadsheets/d/1-uUXvimVhiU2U0bMN-xi2te0tS4X7DI2GLPnMjzl8cA/edit?usp=share_link"",""ลำพูน!J610"")+IMPORTRANGE(""https://docs.google.com/spreadsheets/d/17HrOaa5pBUI1onckFfumXB8xlg35qb2uBAFfF1D-Myo/edit?usp=shar"&amp;"e_link"",""สุโขทัย!J610"")+IMPORTRANGE(""https://docs.google.com/spreadsheets/d/1ubs5cl16eYL9gHbdHTJtmtYb9MGzHBs7CAphn8kNCgM/edit?usp=share_link"",""อุตรดิตถ์!J610"")+IMPORTRANGE(""https://docs.google.com/spreadsheets/d/1kII0BjS6CtVrBvI8IrytgPdxDrlyQDyigz"&amp;"MsohRtDMs/edit?usp=share_link"",""อุทัยธานี!J610"")
"),0)</f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43">
        <f>J614+J616</f>
        <v>0</v>
      </c>
      <c r="K611" s="644">
        <f t="shared" ref="K611:K613" si="296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77"/>
      <c r="C612" s="678" t="s">
        <v>262</v>
      </c>
      <c r="D612" s="677"/>
      <c r="E612" s="677"/>
      <c r="F612" s="679"/>
      <c r="G612" s="680"/>
      <c r="H612" s="681" t="s">
        <v>46</v>
      </c>
      <c r="I612" s="682">
        <v>0</v>
      </c>
      <c r="J612" s="683">
        <f t="shared" ref="J612:J613" si="297">J614+J616</f>
        <v>0</v>
      </c>
      <c r="K612" s="684">
        <f t="shared" si="296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77"/>
      <c r="C613" s="686" t="s">
        <v>263</v>
      </c>
      <c r="D613" s="677"/>
      <c r="E613" s="677"/>
      <c r="F613" s="679"/>
      <c r="G613" s="680"/>
      <c r="H613" s="681" t="s">
        <v>34</v>
      </c>
      <c r="I613" s="682">
        <v>0</v>
      </c>
      <c r="J613" s="683">
        <f t="shared" si="297"/>
        <v>0</v>
      </c>
      <c r="K613" s="684">
        <f t="shared" si="296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0"/>
      <c r="C614" s="580"/>
      <c r="D614" s="687" t="s">
        <v>264</v>
      </c>
      <c r="E614" s="580"/>
      <c r="F614" s="566"/>
      <c r="G614" s="582"/>
      <c r="H614" s="583" t="s">
        <v>46</v>
      </c>
      <c r="I614" s="4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0"/>
      <c r="C615" s="580"/>
      <c r="D615" s="580"/>
      <c r="E615" s="580"/>
      <c r="F615" s="566"/>
      <c r="G615" s="582"/>
      <c r="H615" s="583" t="s">
        <v>34</v>
      </c>
      <c r="I615" s="4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0"/>
      <c r="C616" s="580"/>
      <c r="D616" s="688" t="s">
        <v>264</v>
      </c>
      <c r="E616" s="566"/>
      <c r="F616" s="566"/>
      <c r="G616" s="582"/>
      <c r="H616" s="583" t="s">
        <v>46</v>
      </c>
      <c r="I616" s="4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0"/>
      <c r="C617" s="580"/>
      <c r="D617" s="580"/>
      <c r="E617" s="566"/>
      <c r="F617" s="566"/>
      <c r="G617" s="582"/>
      <c r="H617" s="583" t="s">
        <v>34</v>
      </c>
      <c r="I617" s="4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0"/>
      <c r="C618" s="580"/>
      <c r="D618" s="688" t="s">
        <v>265</v>
      </c>
      <c r="E618" s="566"/>
      <c r="F618" s="566"/>
      <c r="G618" s="582"/>
      <c r="H618" s="583" t="s">
        <v>46</v>
      </c>
      <c r="I618" s="4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0"/>
      <c r="C619" s="580"/>
      <c r="D619" s="580"/>
      <c r="E619" s="566"/>
      <c r="F619" s="566"/>
      <c r="G619" s="582"/>
      <c r="H619" s="583" t="s">
        <v>34</v>
      </c>
      <c r="I619" s="4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9"/>
      <c r="B620" s="690"/>
      <c r="C620" s="691" t="s">
        <v>266</v>
      </c>
      <c r="D620" s="690"/>
      <c r="E620" s="690"/>
      <c r="F620" s="692"/>
      <c r="G620" s="693"/>
      <c r="H620" s="694" t="s">
        <v>46</v>
      </c>
      <c r="I620" s="695">
        <f ca="1">IFERROR(__xludf.DUMMYFUNCTION("IMPORTRANGE(""https://docs.google.com/spreadsheets/d/1KxicF4apzSqm0-jIpmueT4kyZtE-Cwn5zskl7GD4loQ/edit?usp=share_link"",""กำแพงเพชร!I620"")+IMPORTRANGE(""https://docs.google.com/spreadsheets/d/1ZNYWeiFoFA1K1U4xKWqRX29MBvEyRHXORjo734Gnq_c/edit?usp=share_li"&amp;"nk"",""เชียงราย!I620"")
+IMPORTRANGE(""https://docs.google.com/spreadsheets/d/1Jgv0Y7YlHDtsiDawwp-uvifEJ8HVaSn0k2aGHG8-hwM/edit?usp=share_link"",""เชียงใหม่!I620"")+IMPORTRANGE(""https://docs.google.com/spreadsheets/d/1JWG2rZePOz9pe-f-ObA-yDr0VoOX2kSb0qIi"&amp;"x2mTUo8/edit?usp=share_link"",""ตาก!I620"")+IMPORTRANGE(""https://docs.google.com/spreadsheets/d/10nSRjK08hx8Y6HgSOQKNw81lyY46Zc7U_Cj72hBMp9U/edit?usp=share_link"",""นครสวรรค์!I620"")+IMPORTRANGE(""https://docs.google.com/spreadsheets/d/1gFVb7qd7amutrIxAA"&amp;"oM7lcy35hllxznovot8lyOfvDo/edit?usp=share_link"",""น่าน!I620"")+IMPORTRANGE(""https://docs.google.com/spreadsheets/d/1K0Aa9s-6EuHE5M0FG1F9aHLXRCOV917xvycTdLdct0w/edit?usp=share_link"",""พะเยา!I620"")+IMPORTRANGE(""https://docs.google.com/spreadsheets/d/1Y"&amp;"9LPKx95PyL5OKy09d-KbKJSuuEZCFdkhYjwC0XQjBA/edit?usp=share_link"",""พิจิตร!I620"")+IMPORTRANGE(""https://docs.google.com/spreadsheets/d/16OMuOwy2eVqZcYWOouQtTpa8X1L23h4660uVHc0C8os/edit?usp=share_link"",""พิษณุโลก!I620"")+IMPORTRANGE(""https://docs.google."&amp;"com/spreadsheets/d/1GfgTldLG6k77HXaMQzaafODklYuucJZQNs_GAPEfZyY/edit?usp=share_link"",""เพชรบูรณ์!I620"")+IMPORTRANGE(""https://docs.google.com/spreadsheets/d/1gvTMYAnm7v1yG1BKWFtr0DnaTsq59oW9dwWvFgq6hs0/edit?usp=share_link"",""แพร่!I620"")+IMPORTRANGE("""&amp;"https://docs.google.com/spreadsheets/d/1Wbcosgy-Xa1xXUArJSOenub6EfZHUSzc_bpJFWwQUf0/edit?usp=share_link"",""แม่ฮ่องสอน!I620"")+IMPORTRANGE(""https://docs.google.com/spreadsheets/d/1p7ERhsr0qZeSn-KSOdeHS9r0heI-lHtkcn2OH7hP0jQ/edit?usp=share_link"",""ลำปาง!"&amp;"I620"")+IMPORTRANGE(""https://docs.google.com/spreadsheets/d/1-uUXvimVhiU2U0bMN-xi2te0tS4X7DI2GLPnMjzl8cA/edit?usp=share_link"",""ลำพูน!I620"")+IMPORTRANGE(""https://docs.google.com/spreadsheets/d/17HrOaa5pBUI1onckFfumXB8xlg35qb2uBAFfF1D-Myo/edit?usp=shar"&amp;"e_link"",""สุโขทัย!I620"")+IMPORTRANGE(""https://docs.google.com/spreadsheets/d/1ubs5cl16eYL9gHbdHTJtmtYb9MGzHBs7CAphn8kNCgM/edit?usp=share_link"",""อุตรดิตถ์!I620"")+IMPORTRANGE(""https://docs.google.com/spreadsheets/d/1kII0BjS6CtVrBvI8IrytgPdxDrlyQDyigz"&amp;"MsohRtDMs/edit?usp=share_link"",""อุทัยธานี!I620"")
"),1603)</f>
        <v>1603</v>
      </c>
      <c r="J620" s="695">
        <f t="shared" ref="J620:J621" ca="1" si="298">J622+J624+J626</f>
        <v>0</v>
      </c>
      <c r="K620" s="696">
        <f t="shared" ref="K620:K621" ca="1" si="299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9"/>
      <c r="B621" s="690"/>
      <c r="C621" s="698" t="s">
        <v>267</v>
      </c>
      <c r="D621" s="690"/>
      <c r="E621" s="690"/>
      <c r="F621" s="692"/>
      <c r="G621" s="693"/>
      <c r="H621" s="694" t="s">
        <v>34</v>
      </c>
      <c r="I621" s="695">
        <f ca="1">IFERROR(__xludf.DUMMYFUNCTION("IMPORTRANGE(""https://docs.google.com/spreadsheets/d/1KxicF4apzSqm0-jIpmueT4kyZtE-Cwn5zskl7GD4loQ/edit?usp=share_link"",""กำแพงเพชร!I621"")+IMPORTRANGE(""https://docs.google.com/spreadsheets/d/1ZNYWeiFoFA1K1U4xKWqRX29MBvEyRHXORjo734Gnq_c/edit?usp=share_li"&amp;"nk"",""เชียงราย!I621"")
+IMPORTRANGE(""https://docs.google.com/spreadsheets/d/1Jgv0Y7YlHDtsiDawwp-uvifEJ8HVaSn0k2aGHG8-hwM/edit?usp=share_link"",""เชียงใหม่!I621"")+IMPORTRANGE(""https://docs.google.com/spreadsheets/d/1JWG2rZePOz9pe-f-ObA-yDr0VoOX2kSb0qIi"&amp;"x2mTUo8/edit?usp=share_link"",""ตาก!I621"")+IMPORTRANGE(""https://docs.google.com/spreadsheets/d/10nSRjK08hx8Y6HgSOQKNw81lyY46Zc7U_Cj72hBMp9U/edit?usp=share_link"",""นครสวรรค์!I621"")+IMPORTRANGE(""https://docs.google.com/spreadsheets/d/1gFVb7qd7amutrIxAA"&amp;"oM7lcy35hllxznovot8lyOfvDo/edit?usp=share_link"",""น่าน!I621"")+IMPORTRANGE(""https://docs.google.com/spreadsheets/d/1K0Aa9s-6EuHE5M0FG1F9aHLXRCOV917xvycTdLdct0w/edit?usp=share_link"",""พะเยา!I621"")+IMPORTRANGE(""https://docs.google.com/spreadsheets/d/1Y"&amp;"9LPKx95PyL5OKy09d-KbKJSuuEZCFdkhYjwC0XQjBA/edit?usp=share_link"",""พิจิตร!I621"")+IMPORTRANGE(""https://docs.google.com/spreadsheets/d/16OMuOwy2eVqZcYWOouQtTpa8X1L23h4660uVHc0C8os/edit?usp=share_link"",""พิษณุโลก!I621"")+IMPORTRANGE(""https://docs.google."&amp;"com/spreadsheets/d/1GfgTldLG6k77HXaMQzaafODklYuucJZQNs_GAPEfZyY/edit?usp=share_link"",""เพชรบูรณ์!I621"")+IMPORTRANGE(""https://docs.google.com/spreadsheets/d/1gvTMYAnm7v1yG1BKWFtr0DnaTsq59oW9dwWvFgq6hs0/edit?usp=share_link"",""แพร่!I621"")+IMPORTRANGE("""&amp;"https://docs.google.com/spreadsheets/d/1Wbcosgy-Xa1xXUArJSOenub6EfZHUSzc_bpJFWwQUf0/edit?usp=share_link"",""แม่ฮ่องสอน!I621"")+IMPORTRANGE(""https://docs.google.com/spreadsheets/d/1p7ERhsr0qZeSn-KSOdeHS9r0heI-lHtkcn2OH7hP0jQ/edit?usp=share_link"",""ลำปาง!"&amp;"I621"")+IMPORTRANGE(""https://docs.google.com/spreadsheets/d/1-uUXvimVhiU2U0bMN-xi2te0tS4X7DI2GLPnMjzl8cA/edit?usp=share_link"",""ลำพูน!I621"")+IMPORTRANGE(""https://docs.google.com/spreadsheets/d/17HrOaa5pBUI1onckFfumXB8xlg35qb2uBAFfF1D-Myo/edit?usp=shar"&amp;"e_link"",""สุโขทัย!I621"")+IMPORTRANGE(""https://docs.google.com/spreadsheets/d/1ubs5cl16eYL9gHbdHTJtmtYb9MGzHBs7CAphn8kNCgM/edit?usp=share_link"",""อุตรดิตถ์!I621"")+IMPORTRANGE(""https://docs.google.com/spreadsheets/d/1kII0BjS6CtVrBvI8IrytgPdxDrlyQDyigz"&amp;"MsohRtDMs/edit?usp=share_link"",""อุทัยธานี!I621"")
"),112)</f>
        <v>112</v>
      </c>
      <c r="J621" s="695">
        <f t="shared" ca="1" si="298"/>
        <v>0</v>
      </c>
      <c r="K621" s="696">
        <f t="shared" ca="1" si="299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74"/>
      <c r="C622" s="574"/>
      <c r="D622" s="263" t="s">
        <v>268</v>
      </c>
      <c r="E622" s="586"/>
      <c r="F622" s="586"/>
      <c r="G622" s="175"/>
      <c r="H622" s="182" t="s">
        <v>46</v>
      </c>
      <c r="I622" s="37"/>
      <c r="J622" s="183">
        <f ca="1">IFERROR(__xludf.DUMMYFUNCTION("IMPORTRANGE(""https://docs.google.com/spreadsheets/d/1KxicF4apzSqm0-jIpmueT4kyZtE-Cwn5zskl7GD4loQ/edit?usp=share_link"",""กำแพงเพชร!J622"")+IMPORTRANGE(""https://docs.google.com/spreadsheets/d/1ZNYWeiFoFA1K1U4xKWqRX29MBvEyRHXORjo734Gnq_c/edit?usp=share_li"&amp;"nk"",""เชียงราย!J622"")
+IMPORTRANGE(""https://docs.google.com/spreadsheets/d/1Jgv0Y7YlHDtsiDawwp-uvifEJ8HVaSn0k2aGHG8-hwM/edit?usp=share_link"",""เชียงใหม่!J622"")+IMPORTRANGE(""https://docs.google.com/spreadsheets/d/1JWG2rZePOz9pe-f-ObA-yDr0VoOX2kSb0qIi"&amp;"x2mTUo8/edit?usp=share_link"",""ตาก!J622"")+IMPORTRANGE(""https://docs.google.com/spreadsheets/d/10nSRjK08hx8Y6HgSOQKNw81lyY46Zc7U_Cj72hBMp9U/edit?usp=share_link"",""นครสวรรค์!J622"")+IMPORTRANGE(""https://docs.google.com/spreadsheets/d/1gFVb7qd7amutrIxAA"&amp;"oM7lcy35hllxznovot8lyOfvDo/edit?usp=share_link"",""น่าน!J622"")+IMPORTRANGE(""https://docs.google.com/spreadsheets/d/1K0Aa9s-6EuHE5M0FG1F9aHLXRCOV917xvycTdLdct0w/edit?usp=share_link"",""พะเยา!J622"")+IMPORTRANGE(""https://docs.google.com/spreadsheets/d/1Y"&amp;"9LPKx95PyL5OKy09d-KbKJSuuEZCFdkhYjwC0XQjBA/edit?usp=share_link"",""พิจิตร!J622"")+IMPORTRANGE(""https://docs.google.com/spreadsheets/d/16OMuOwy2eVqZcYWOouQtTpa8X1L23h4660uVHc0C8os/edit?usp=share_link"",""พิษณุโลก!J622"")+IMPORTRANGE(""https://docs.google."&amp;"com/spreadsheets/d/1GfgTldLG6k77HXaMQzaafODklYuucJZQNs_GAPEfZyY/edit?usp=share_link"",""เพชรบูรณ์!J622"")+IMPORTRANGE(""https://docs.google.com/spreadsheets/d/1gvTMYAnm7v1yG1BKWFtr0DnaTsq59oW9dwWvFgq6hs0/edit?usp=share_link"",""แพร่!J622"")+IMPORTRANGE("""&amp;"https://docs.google.com/spreadsheets/d/1Wbcosgy-Xa1xXUArJSOenub6EfZHUSzc_bpJFWwQUf0/edit?usp=share_link"",""แม่ฮ่องสอน!J622"")+IMPORTRANGE(""https://docs.google.com/spreadsheets/d/1p7ERhsr0qZeSn-KSOdeHS9r0heI-lHtkcn2OH7hP0jQ/edit?usp=share_link"",""ลำปาง!"&amp;"J622"")+IMPORTRANGE(""https://docs.google.com/spreadsheets/d/1-uUXvimVhiU2U0bMN-xi2te0tS4X7DI2GLPnMjzl8cA/edit?usp=share_link"",""ลำพูน!J622"")+IMPORTRANGE(""https://docs.google.com/spreadsheets/d/17HrOaa5pBUI1onckFfumXB8xlg35qb2uBAFfF1D-Myo/edit?usp=shar"&amp;"e_link"",""สุโขทัย!J622"")+IMPORTRANGE(""https://docs.google.com/spreadsheets/d/1ubs5cl16eYL9gHbdHTJtmtYb9MGzHBs7CAphn8kNCgM/edit?usp=share_link"",""อุตรดิตถ์!J622"")+IMPORTRANGE(""https://docs.google.com/spreadsheets/d/1kII0BjS6CtVrBvI8IrytgPdxDrlyQDyigz"&amp;"MsohRtDMs/edit?usp=share_link"",""อุทัยธานี!J622"")
"),0)</f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74"/>
      <c r="C623" s="574"/>
      <c r="D623" s="574"/>
      <c r="E623" s="586"/>
      <c r="F623" s="586"/>
      <c r="G623" s="175"/>
      <c r="H623" s="182" t="s">
        <v>34</v>
      </c>
      <c r="I623" s="37"/>
      <c r="J623" s="183">
        <f ca="1">IFERROR(__xludf.DUMMYFUNCTION("IMPORTRANGE(""https://docs.google.com/spreadsheets/d/1KxicF4apzSqm0-jIpmueT4kyZtE-Cwn5zskl7GD4loQ/edit?usp=share_link"",""กำแพงเพชร!J623"")+IMPORTRANGE(""https://docs.google.com/spreadsheets/d/1ZNYWeiFoFA1K1U4xKWqRX29MBvEyRHXORjo734Gnq_c/edit?usp=share_li"&amp;"nk"",""เชียงราย!J623"")
+IMPORTRANGE(""https://docs.google.com/spreadsheets/d/1Jgv0Y7YlHDtsiDawwp-uvifEJ8HVaSn0k2aGHG8-hwM/edit?usp=share_link"",""เชียงใหม่!J623"")+IMPORTRANGE(""https://docs.google.com/spreadsheets/d/1JWG2rZePOz9pe-f-ObA-yDr0VoOX2kSb0qIi"&amp;"x2mTUo8/edit?usp=share_link"",""ตาก!J623"")+IMPORTRANGE(""https://docs.google.com/spreadsheets/d/10nSRjK08hx8Y6HgSOQKNw81lyY46Zc7U_Cj72hBMp9U/edit?usp=share_link"",""นครสวรรค์!J623"")+IMPORTRANGE(""https://docs.google.com/spreadsheets/d/1gFVb7qd7amutrIxAA"&amp;"oM7lcy35hllxznovot8lyOfvDo/edit?usp=share_link"",""น่าน!J623"")+IMPORTRANGE(""https://docs.google.com/spreadsheets/d/1K0Aa9s-6EuHE5M0FG1F9aHLXRCOV917xvycTdLdct0w/edit?usp=share_link"",""พะเยา!J623"")+IMPORTRANGE(""https://docs.google.com/spreadsheets/d/1Y"&amp;"9LPKx95PyL5OKy09d-KbKJSuuEZCFdkhYjwC0XQjBA/edit?usp=share_link"",""พิจิตร!J623"")+IMPORTRANGE(""https://docs.google.com/spreadsheets/d/16OMuOwy2eVqZcYWOouQtTpa8X1L23h4660uVHc0C8os/edit?usp=share_link"",""พิษณุโลก!J623"")+IMPORTRANGE(""https://docs.google."&amp;"com/spreadsheets/d/1GfgTldLG6k77HXaMQzaafODklYuucJZQNs_GAPEfZyY/edit?usp=share_link"",""เพชรบูรณ์!J623"")+IMPORTRANGE(""https://docs.google.com/spreadsheets/d/1gvTMYAnm7v1yG1BKWFtr0DnaTsq59oW9dwWvFgq6hs0/edit?usp=share_link"",""แพร่!J623"")+IMPORTRANGE("""&amp;"https://docs.google.com/spreadsheets/d/1Wbcosgy-Xa1xXUArJSOenub6EfZHUSzc_bpJFWwQUf0/edit?usp=share_link"",""แม่ฮ่องสอน!J623"")+IMPORTRANGE(""https://docs.google.com/spreadsheets/d/1p7ERhsr0qZeSn-KSOdeHS9r0heI-lHtkcn2OH7hP0jQ/edit?usp=share_link"",""ลำปาง!"&amp;"J623"")+IMPORTRANGE(""https://docs.google.com/spreadsheets/d/1-uUXvimVhiU2U0bMN-xi2te0tS4X7DI2GLPnMjzl8cA/edit?usp=share_link"",""ลำพูน!J623"")+IMPORTRANGE(""https://docs.google.com/spreadsheets/d/17HrOaa5pBUI1onckFfumXB8xlg35qb2uBAFfF1D-Myo/edit?usp=shar"&amp;"e_link"",""สุโขทัย!J623"")+IMPORTRANGE(""https://docs.google.com/spreadsheets/d/1ubs5cl16eYL9gHbdHTJtmtYb9MGzHBs7CAphn8kNCgM/edit?usp=share_link"",""อุตรดิตถ์!J623"")+IMPORTRANGE(""https://docs.google.com/spreadsheets/d/1kII0BjS6CtVrBvI8IrytgPdxDrlyQDyigz"&amp;"MsohRtDMs/edit?usp=share_link"",""อุทัยธานี!J623"")
"),0)</f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74"/>
      <c r="C624" s="574"/>
      <c r="D624" s="263" t="s">
        <v>264</v>
      </c>
      <c r="E624" s="586"/>
      <c r="F624" s="586"/>
      <c r="G624" s="175"/>
      <c r="H624" s="182" t="s">
        <v>46</v>
      </c>
      <c r="I624" s="37"/>
      <c r="J624" s="183">
        <f ca="1">IFERROR(__xludf.DUMMYFUNCTION("IMPORTRANGE(""https://docs.google.com/spreadsheets/d/1KxicF4apzSqm0-jIpmueT4kyZtE-Cwn5zskl7GD4loQ/edit?usp=share_link"",""กำแพงเพชร!J624"")+IMPORTRANGE(""https://docs.google.com/spreadsheets/d/1ZNYWeiFoFA1K1U4xKWqRX29MBvEyRHXORjo734Gnq_c/edit?usp=share_li"&amp;"nk"",""เชียงราย!J624"")
+IMPORTRANGE(""https://docs.google.com/spreadsheets/d/1Jgv0Y7YlHDtsiDawwp-uvifEJ8HVaSn0k2aGHG8-hwM/edit?usp=share_link"",""เชียงใหม่!J624"")+IMPORTRANGE(""https://docs.google.com/spreadsheets/d/1JWG2rZePOz9pe-f-ObA-yDr0VoOX2kSb0qIi"&amp;"x2mTUo8/edit?usp=share_link"",""ตาก!J624"")+IMPORTRANGE(""https://docs.google.com/spreadsheets/d/10nSRjK08hx8Y6HgSOQKNw81lyY46Zc7U_Cj72hBMp9U/edit?usp=share_link"",""นครสวรรค์!J624"")+IMPORTRANGE(""https://docs.google.com/spreadsheets/d/1gFVb7qd7amutrIxAA"&amp;"oM7lcy35hllxznovot8lyOfvDo/edit?usp=share_link"",""น่าน!J624"")+IMPORTRANGE(""https://docs.google.com/spreadsheets/d/1K0Aa9s-6EuHE5M0FG1F9aHLXRCOV917xvycTdLdct0w/edit?usp=share_link"",""พะเยา!J624"")+IMPORTRANGE(""https://docs.google.com/spreadsheets/d/1Y"&amp;"9LPKx95PyL5OKy09d-KbKJSuuEZCFdkhYjwC0XQjBA/edit?usp=share_link"",""พิจิตร!J624"")+IMPORTRANGE(""https://docs.google.com/spreadsheets/d/16OMuOwy2eVqZcYWOouQtTpa8X1L23h4660uVHc0C8os/edit?usp=share_link"",""พิษณุโลก!J624"")+IMPORTRANGE(""https://docs.google."&amp;"com/spreadsheets/d/1GfgTldLG6k77HXaMQzaafODklYuucJZQNs_GAPEfZyY/edit?usp=share_link"",""เพชรบูรณ์!J624"")+IMPORTRANGE(""https://docs.google.com/spreadsheets/d/1gvTMYAnm7v1yG1BKWFtr0DnaTsq59oW9dwWvFgq6hs0/edit?usp=share_link"",""แพร่!J624"")+IMPORTRANGE("""&amp;"https://docs.google.com/spreadsheets/d/1Wbcosgy-Xa1xXUArJSOenub6EfZHUSzc_bpJFWwQUf0/edit?usp=share_link"",""แม่ฮ่องสอน!J624"")+IMPORTRANGE(""https://docs.google.com/spreadsheets/d/1p7ERhsr0qZeSn-KSOdeHS9r0heI-lHtkcn2OH7hP0jQ/edit?usp=share_link"",""ลำปาง!"&amp;"J624"")+IMPORTRANGE(""https://docs.google.com/spreadsheets/d/1-uUXvimVhiU2U0bMN-xi2te0tS4X7DI2GLPnMjzl8cA/edit?usp=share_link"",""ลำพูน!J624"")+IMPORTRANGE(""https://docs.google.com/spreadsheets/d/17HrOaa5pBUI1onckFfumXB8xlg35qb2uBAFfF1D-Myo/edit?usp=shar"&amp;"e_link"",""สุโขทัย!J624"")+IMPORTRANGE(""https://docs.google.com/spreadsheets/d/1ubs5cl16eYL9gHbdHTJtmtYb9MGzHBs7CAphn8kNCgM/edit?usp=share_link"",""อุตรดิตถ์!J624"")+IMPORTRANGE(""https://docs.google.com/spreadsheets/d/1kII0BjS6CtVrBvI8IrytgPdxDrlyQDyigz"&amp;"MsohRtDMs/edit?usp=share_link"",""อุทัยธานี!J624"")
"),0)</f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74"/>
      <c r="C625" s="574"/>
      <c r="D625" s="574"/>
      <c r="E625" s="586"/>
      <c r="F625" s="586"/>
      <c r="G625" s="175"/>
      <c r="H625" s="182" t="s">
        <v>34</v>
      </c>
      <c r="I625" s="37"/>
      <c r="J625" s="183">
        <f ca="1">IFERROR(__xludf.DUMMYFUNCTION("IMPORTRANGE(""https://docs.google.com/spreadsheets/d/1KxicF4apzSqm0-jIpmueT4kyZtE-Cwn5zskl7GD4loQ/edit?usp=share_link"",""กำแพงเพชร!J625"")+IMPORTRANGE(""https://docs.google.com/spreadsheets/d/1ZNYWeiFoFA1K1U4xKWqRX29MBvEyRHXORjo734Gnq_c/edit?usp=share_li"&amp;"nk"",""เชียงราย!J625"")
+IMPORTRANGE(""https://docs.google.com/spreadsheets/d/1Jgv0Y7YlHDtsiDawwp-uvifEJ8HVaSn0k2aGHG8-hwM/edit?usp=share_link"",""เชียงใหม่!J625"")+IMPORTRANGE(""https://docs.google.com/spreadsheets/d/1JWG2rZePOz9pe-f-ObA-yDr0VoOX2kSb0qIi"&amp;"x2mTUo8/edit?usp=share_link"",""ตาก!J625"")+IMPORTRANGE(""https://docs.google.com/spreadsheets/d/10nSRjK08hx8Y6HgSOQKNw81lyY46Zc7U_Cj72hBMp9U/edit?usp=share_link"",""นครสวรรค์!J625"")+IMPORTRANGE(""https://docs.google.com/spreadsheets/d/1gFVb7qd7amutrIxAA"&amp;"oM7lcy35hllxznovot8lyOfvDo/edit?usp=share_link"",""น่าน!J625"")+IMPORTRANGE(""https://docs.google.com/spreadsheets/d/1K0Aa9s-6EuHE5M0FG1F9aHLXRCOV917xvycTdLdct0w/edit?usp=share_link"",""พะเยา!J625"")+IMPORTRANGE(""https://docs.google.com/spreadsheets/d/1Y"&amp;"9LPKx95PyL5OKy09d-KbKJSuuEZCFdkhYjwC0XQjBA/edit?usp=share_link"",""พิจิตร!J625"")+IMPORTRANGE(""https://docs.google.com/spreadsheets/d/16OMuOwy2eVqZcYWOouQtTpa8X1L23h4660uVHc0C8os/edit?usp=share_link"",""พิษณุโลก!J625"")+IMPORTRANGE(""https://docs.google."&amp;"com/spreadsheets/d/1GfgTldLG6k77HXaMQzaafODklYuucJZQNs_GAPEfZyY/edit?usp=share_link"",""เพชรบูรณ์!J625"")+IMPORTRANGE(""https://docs.google.com/spreadsheets/d/1gvTMYAnm7v1yG1BKWFtr0DnaTsq59oW9dwWvFgq6hs0/edit?usp=share_link"",""แพร่!J625"")+IMPORTRANGE("""&amp;"https://docs.google.com/spreadsheets/d/1Wbcosgy-Xa1xXUArJSOenub6EfZHUSzc_bpJFWwQUf0/edit?usp=share_link"",""แม่ฮ่องสอน!J625"")+IMPORTRANGE(""https://docs.google.com/spreadsheets/d/1p7ERhsr0qZeSn-KSOdeHS9r0heI-lHtkcn2OH7hP0jQ/edit?usp=share_link"",""ลำปาง!"&amp;"J625"")+IMPORTRANGE(""https://docs.google.com/spreadsheets/d/1-uUXvimVhiU2U0bMN-xi2te0tS4X7DI2GLPnMjzl8cA/edit?usp=share_link"",""ลำพูน!J625"")+IMPORTRANGE(""https://docs.google.com/spreadsheets/d/17HrOaa5pBUI1onckFfumXB8xlg35qb2uBAFfF1D-Myo/edit?usp=shar"&amp;"e_link"",""สุโขทัย!J625"")+IMPORTRANGE(""https://docs.google.com/spreadsheets/d/1ubs5cl16eYL9gHbdHTJtmtYb9MGzHBs7CAphn8kNCgM/edit?usp=share_link"",""อุตรดิตถ์!J625"")+IMPORTRANGE(""https://docs.google.com/spreadsheets/d/1kII0BjS6CtVrBvI8IrytgPdxDrlyQDyigz"&amp;"MsohRtDMs/edit?usp=share_link"",""อุทัยธานี!J625"")
"),0)</f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74"/>
      <c r="C626" s="574"/>
      <c r="D626" s="263" t="s">
        <v>269</v>
      </c>
      <c r="E626" s="586"/>
      <c r="F626" s="586"/>
      <c r="G626" s="175"/>
      <c r="H626" s="182" t="s">
        <v>46</v>
      </c>
      <c r="I626" s="37"/>
      <c r="J626" s="183">
        <f ca="1">IFERROR(__xludf.DUMMYFUNCTION("IMPORTRANGE(""https://docs.google.com/spreadsheets/d/1KxicF4apzSqm0-jIpmueT4kyZtE-Cwn5zskl7GD4loQ/edit?usp=share_link"",""กำแพงเพชร!J626"")+IMPORTRANGE(""https://docs.google.com/spreadsheets/d/1ZNYWeiFoFA1K1U4xKWqRX29MBvEyRHXORjo734Gnq_c/edit?usp=share_li"&amp;"nk"",""เชียงราย!J626"")
+IMPORTRANGE(""https://docs.google.com/spreadsheets/d/1Jgv0Y7YlHDtsiDawwp-uvifEJ8HVaSn0k2aGHG8-hwM/edit?usp=share_link"",""เชียงใหม่!J626"")+IMPORTRANGE(""https://docs.google.com/spreadsheets/d/1JWG2rZePOz9pe-f-ObA-yDr0VoOX2kSb0qIi"&amp;"x2mTUo8/edit?usp=share_link"",""ตาก!J626"")+IMPORTRANGE(""https://docs.google.com/spreadsheets/d/10nSRjK08hx8Y6HgSOQKNw81lyY46Zc7U_Cj72hBMp9U/edit?usp=share_link"",""นครสวรรค์!J626"")+IMPORTRANGE(""https://docs.google.com/spreadsheets/d/1gFVb7qd7amutrIxAA"&amp;"oM7lcy35hllxznovot8lyOfvDo/edit?usp=share_link"",""น่าน!J626"")+IMPORTRANGE(""https://docs.google.com/spreadsheets/d/1K0Aa9s-6EuHE5M0FG1F9aHLXRCOV917xvycTdLdct0w/edit?usp=share_link"",""พะเยา!J626"")+IMPORTRANGE(""https://docs.google.com/spreadsheets/d/1Y"&amp;"9LPKx95PyL5OKy09d-KbKJSuuEZCFdkhYjwC0XQjBA/edit?usp=share_link"",""พิจิตร!J626"")+IMPORTRANGE(""https://docs.google.com/spreadsheets/d/16OMuOwy2eVqZcYWOouQtTpa8X1L23h4660uVHc0C8os/edit?usp=share_link"",""พิษณุโลก!J626"")+IMPORTRANGE(""https://docs.google."&amp;"com/spreadsheets/d/1GfgTldLG6k77HXaMQzaafODklYuucJZQNs_GAPEfZyY/edit?usp=share_link"",""เพชรบูรณ์!J626"")+IMPORTRANGE(""https://docs.google.com/spreadsheets/d/1gvTMYAnm7v1yG1BKWFtr0DnaTsq59oW9dwWvFgq6hs0/edit?usp=share_link"",""แพร่!J626"")+IMPORTRANGE("""&amp;"https://docs.google.com/spreadsheets/d/1Wbcosgy-Xa1xXUArJSOenub6EfZHUSzc_bpJFWwQUf0/edit?usp=share_link"",""แม่ฮ่องสอน!J626"")+IMPORTRANGE(""https://docs.google.com/spreadsheets/d/1p7ERhsr0qZeSn-KSOdeHS9r0heI-lHtkcn2OH7hP0jQ/edit?usp=share_link"",""ลำปาง!"&amp;"J626"")+IMPORTRANGE(""https://docs.google.com/spreadsheets/d/1-uUXvimVhiU2U0bMN-xi2te0tS4X7DI2GLPnMjzl8cA/edit?usp=share_link"",""ลำพูน!J626"")+IMPORTRANGE(""https://docs.google.com/spreadsheets/d/17HrOaa5pBUI1onckFfumXB8xlg35qb2uBAFfF1D-Myo/edit?usp=shar"&amp;"e_link"",""สุโขทัย!J626"")+IMPORTRANGE(""https://docs.google.com/spreadsheets/d/1ubs5cl16eYL9gHbdHTJtmtYb9MGzHBs7CAphn8kNCgM/edit?usp=share_link"",""อุตรดิตถ์!J626"")+IMPORTRANGE(""https://docs.google.com/spreadsheets/d/1kII0BjS6CtVrBvI8IrytgPdxDrlyQDyigz"&amp;"MsohRtDMs/edit?usp=share_link"",""อุทัยธานี!J626"")
"),0)</f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f ca="1">IFERROR(__xludf.DUMMYFUNCTION("IMPORTRANGE(""https://docs.google.com/spreadsheets/d/1KxicF4apzSqm0-jIpmueT4kyZtE-Cwn5zskl7GD4loQ/edit?usp=share_link"",""กำแพงเพชร!J627"")+IMPORTRANGE(""https://docs.google.com/spreadsheets/d/1ZNYWeiFoFA1K1U4xKWqRX29MBvEyRHXORjo734Gnq_c/edit?usp=share_li"&amp;"nk"",""เชียงราย!J627"")
+IMPORTRANGE(""https://docs.google.com/spreadsheets/d/1Jgv0Y7YlHDtsiDawwp-uvifEJ8HVaSn0k2aGHG8-hwM/edit?usp=share_link"",""เชียงใหม่!J627"")+IMPORTRANGE(""https://docs.google.com/spreadsheets/d/1JWG2rZePOz9pe-f-ObA-yDr0VoOX2kSb0qIi"&amp;"x2mTUo8/edit?usp=share_link"",""ตาก!J627"")+IMPORTRANGE(""https://docs.google.com/spreadsheets/d/10nSRjK08hx8Y6HgSOQKNw81lyY46Zc7U_Cj72hBMp9U/edit?usp=share_link"",""นครสวรรค์!J627"")+IMPORTRANGE(""https://docs.google.com/spreadsheets/d/1gFVb7qd7amutrIxAA"&amp;"oM7lcy35hllxznovot8lyOfvDo/edit?usp=share_link"",""น่าน!J627"")+IMPORTRANGE(""https://docs.google.com/spreadsheets/d/1K0Aa9s-6EuHE5M0FG1F9aHLXRCOV917xvycTdLdct0w/edit?usp=share_link"",""พะเยา!J627"")+IMPORTRANGE(""https://docs.google.com/spreadsheets/d/1Y"&amp;"9LPKx95PyL5OKy09d-KbKJSuuEZCFdkhYjwC0XQjBA/edit?usp=share_link"",""พิจิตร!J627"")+IMPORTRANGE(""https://docs.google.com/spreadsheets/d/16OMuOwy2eVqZcYWOouQtTpa8X1L23h4660uVHc0C8os/edit?usp=share_link"",""พิษณุโลก!J627"")+IMPORTRANGE(""https://docs.google."&amp;"com/spreadsheets/d/1GfgTldLG6k77HXaMQzaafODklYuucJZQNs_GAPEfZyY/edit?usp=share_link"",""เพชรบูรณ์!J627"")+IMPORTRANGE(""https://docs.google.com/spreadsheets/d/1gvTMYAnm7v1yG1BKWFtr0DnaTsq59oW9dwWvFgq6hs0/edit?usp=share_link"",""แพร่!J627"")+IMPORTRANGE("""&amp;"https://docs.google.com/spreadsheets/d/1Wbcosgy-Xa1xXUArJSOenub6EfZHUSzc_bpJFWwQUf0/edit?usp=share_link"",""แม่ฮ่องสอน!J627"")+IMPORTRANGE(""https://docs.google.com/spreadsheets/d/1p7ERhsr0qZeSn-KSOdeHS9r0heI-lHtkcn2OH7hP0jQ/edit?usp=share_link"",""ลำปาง!"&amp;"J627"")+IMPORTRANGE(""https://docs.google.com/spreadsheets/d/1-uUXvimVhiU2U0bMN-xi2te0tS4X7DI2GLPnMjzl8cA/edit?usp=share_link"",""ลำพูน!J627"")+IMPORTRANGE(""https://docs.google.com/spreadsheets/d/17HrOaa5pBUI1onckFfumXB8xlg35qb2uBAFfF1D-Myo/edit?usp=shar"&amp;"e_link"",""สุโขทัย!J627"")+IMPORTRANGE(""https://docs.google.com/spreadsheets/d/1ubs5cl16eYL9gHbdHTJtmtYb9MGzHBs7CAphn8kNCgM/edit?usp=share_link"",""อุตรดิตถ์!J627"")+IMPORTRANGE(""https://docs.google.com/spreadsheets/d/1kII0BjS6CtVrBvI8IrytgPdxDrlyQDyigz"&amp;"MsohRtDMs/edit?usp=share_link"",""อุทัยธานี!J627"")
"),0)</f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300">I651</f>
        <v>2481</v>
      </c>
      <c r="J628" s="708">
        <f t="shared" ca="1" si="300"/>
        <v>202</v>
      </c>
      <c r="K628" s="709">
        <f ca="1">IF(I628&gt;0,J628*100/I628,0)</f>
        <v>8.1418782748891569</v>
      </c>
      <c r="L628" s="710"/>
      <c r="M628" s="710"/>
      <c r="N628" s="710"/>
      <c r="O628" s="710"/>
      <c r="P628" s="710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540"/>
      <c r="C629" s="540" t="s">
        <v>16</v>
      </c>
      <c r="D629" s="929" t="s">
        <v>17</v>
      </c>
      <c r="E629" s="923"/>
      <c r="F629" s="923"/>
      <c r="G629" s="189"/>
      <c r="H629" s="563" t="s">
        <v>12</v>
      </c>
      <c r="I629" s="37"/>
      <c r="J629" s="37"/>
      <c r="K629" s="38"/>
      <c r="L629" s="195">
        <f t="shared" ref="L629:N629" ca="1" si="301">L630+L631</f>
        <v>5684995</v>
      </c>
      <c r="M629" s="195">
        <f t="shared" si="301"/>
        <v>0</v>
      </c>
      <c r="N629" s="195">
        <f t="shared" ca="1" si="301"/>
        <v>1026356.949999999</v>
      </c>
      <c r="O629" s="195">
        <f t="shared" ref="O629:O634" ca="1" si="302">IF(L629&gt;0,N629*100/L629,0)</f>
        <v>18.053788086005333</v>
      </c>
      <c r="P629" s="195">
        <f t="shared" ref="P629:P634" si="303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565"/>
      <c r="C630" s="565"/>
      <c r="D630" s="566"/>
      <c r="E630" s="567" t="s">
        <v>184</v>
      </c>
      <c r="F630" s="565"/>
      <c r="G630" s="568"/>
      <c r="H630" s="165" t="s">
        <v>12</v>
      </c>
      <c r="I630" s="44"/>
      <c r="J630" s="44"/>
      <c r="K630" s="45"/>
      <c r="L630" s="45">
        <f t="shared" ref="L630:N630" si="304">L633+L640</f>
        <v>0</v>
      </c>
      <c r="M630" s="45">
        <f t="shared" si="304"/>
        <v>0</v>
      </c>
      <c r="N630" s="45">
        <f t="shared" si="304"/>
        <v>0</v>
      </c>
      <c r="O630" s="45">
        <f t="shared" si="302"/>
        <v>0</v>
      </c>
      <c r="P630" s="45">
        <f t="shared" si="303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0"/>
      <c r="C631" s="565"/>
      <c r="D631" s="566"/>
      <c r="E631" s="567" t="s">
        <v>185</v>
      </c>
      <c r="F631" s="565"/>
      <c r="G631" s="568"/>
      <c r="H631" s="165" t="s">
        <v>12</v>
      </c>
      <c r="I631" s="44"/>
      <c r="J631" s="44"/>
      <c r="K631" s="45"/>
      <c r="L631" s="45">
        <f t="shared" ref="L631:N631" ca="1" si="305">L634+L641</f>
        <v>5684995</v>
      </c>
      <c r="M631" s="45">
        <f t="shared" si="305"/>
        <v>0</v>
      </c>
      <c r="N631" s="45">
        <f t="shared" ca="1" si="305"/>
        <v>1026356.949999999</v>
      </c>
      <c r="O631" s="45">
        <f t="shared" ca="1" si="302"/>
        <v>18.053788086005333</v>
      </c>
      <c r="P631" s="45">
        <f t="shared" si="303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540"/>
      <c r="D632" s="571" t="s">
        <v>20</v>
      </c>
      <c r="E632" s="540"/>
      <c r="F632" s="540"/>
      <c r="G632" s="189"/>
      <c r="H632" s="161" t="s">
        <v>12</v>
      </c>
      <c r="I632" s="162"/>
      <c r="J632" s="162"/>
      <c r="K632" s="163"/>
      <c r="L632" s="38">
        <f t="shared" ref="L632:N632" ca="1" si="306">L633+L634</f>
        <v>5684995</v>
      </c>
      <c r="M632" s="38">
        <f t="shared" si="306"/>
        <v>0</v>
      </c>
      <c r="N632" s="38">
        <f t="shared" ca="1" si="306"/>
        <v>1026356.949999999</v>
      </c>
      <c r="O632" s="38">
        <f t="shared" ca="1" si="302"/>
        <v>18.053788086005333</v>
      </c>
      <c r="P632" s="38">
        <f t="shared" si="303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0"/>
      <c r="C633" s="565"/>
      <c r="D633" s="566"/>
      <c r="E633" s="567" t="s">
        <v>184</v>
      </c>
      <c r="F633" s="565"/>
      <c r="G633" s="56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2"/>
        <v>0</v>
      </c>
      <c r="P633" s="45">
        <f t="shared" si="303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0"/>
      <c r="C634" s="565"/>
      <c r="D634" s="566"/>
      <c r="E634" s="567" t="s">
        <v>185</v>
      </c>
      <c r="F634" s="565"/>
      <c r="G634" s="568"/>
      <c r="H634" s="165" t="s">
        <v>12</v>
      </c>
      <c r="I634" s="44"/>
      <c r="J634" s="44"/>
      <c r="K634" s="45"/>
      <c r="L634" s="45">
        <f ca="1">IFERROR(__xludf.DUMMYFUNCTION("IMPORTRANGE(""https://docs.google.com/spreadsheets/d/1KxicF4apzSqm0-jIpmueT4kyZtE-Cwn5zskl7GD4loQ/edit?usp=share_link"",""กำแพงเพชร!l634"")+IMPORTRANGE(""https://docs.google.com/spreadsheets/d/1ZNYWeiFoFA1K1U4xKWqRX29MBvEyRHXORjo734Gnq_c/edit?usp=share_li"&amp;"nk"",""เชียงราย!l634"")
+IMPORTRANGE(""https://docs.google.com/spreadsheets/d/1Jgv0Y7YlHDtsiDawwp-uvifEJ8HVaSn0k2aGHG8-hwM/edit?usp=share_link"",""เชียงใหม่!l634"")+IMPORTRANGE(""https://docs.google.com/spreadsheets/d/1JWG2rZePOz9pe-f-ObA-yDr0VoOX2kSb0qIi"&amp;"x2mTUo8/edit?usp=share_link"",""ตาก!l634"")+IMPORTRANGE(""https://docs.google.com/spreadsheets/d/10nSRjK08hx8Y6HgSOQKNw81lyY46Zc7U_Cj72hBMp9U/edit?usp=share_link"",""นครสวรรค์!l634"")+IMPORTRANGE(""https://docs.google.com/spreadsheets/d/1gFVb7qd7amutrIxAA"&amp;"oM7lcy35hllxznovot8lyOfvDo/edit?usp=share_link"",""น่าน!l634"")+IMPORTRANGE(""https://docs.google.com/spreadsheets/d/1K0Aa9s-6EuHE5M0FG1F9aHLXRCOV917xvycTdLdct0w/edit?usp=share_link"",""พะเยา!l634"")+IMPORTRANGE(""https://docs.google.com/spreadsheets/d/1Y"&amp;"9LPKx95PyL5OKy09d-KbKJSuuEZCFdkhYjwC0XQjBA/edit?usp=share_link"",""พิจิตร!l634"")+IMPORTRANGE(""https://docs.google.com/spreadsheets/d/16OMuOwy2eVqZcYWOouQtTpa8X1L23h4660uVHc0C8os/edit?usp=share_link"",""พิษณุโลก!l634"")+IMPORTRANGE(""https://docs.google."&amp;"com/spreadsheets/d/1GfgTldLG6k77HXaMQzaafODklYuucJZQNs_GAPEfZyY/edit?usp=share_link"",""เพชรบูรณ์!l634"")+IMPORTRANGE(""https://docs.google.com/spreadsheets/d/1gvTMYAnm7v1yG1BKWFtr0DnaTsq59oW9dwWvFgq6hs0/edit?usp=share_link"",""แพร่!l634"")+IMPORTRANGE("""&amp;"https://docs.google.com/spreadsheets/d/1Wbcosgy-Xa1xXUArJSOenub6EfZHUSzc_bpJFWwQUf0/edit?usp=share_link"",""แม่ฮ่องสอน!l634"")+IMPORTRANGE(""https://docs.google.com/spreadsheets/d/1p7ERhsr0qZeSn-KSOdeHS9r0heI-lHtkcn2OH7hP0jQ/edit?usp=share_link"",""ลำปาง!"&amp;"l634"")+IMPORTRANGE(""https://docs.google.com/spreadsheets/d/1-uUXvimVhiU2U0bMN-xi2te0tS4X7DI2GLPnMjzl8cA/edit?usp=share_link"",""ลำพูน!l634"")+IMPORTRANGE(""https://docs.google.com/spreadsheets/d/17HrOaa5pBUI1onckFfumXB8xlg35qb2uBAFfF1D-Myo/edit?usp=shar"&amp;"e_link"",""สุโขทัย!l634"")+IMPORTRANGE(""https://docs.google.com/spreadsheets/d/1ubs5cl16eYL9gHbdHTJtmtYb9MGzHBs7CAphn8kNCgM/edit?usp=share_link"",""อุตรดิตถ์!l634"")+IMPORTRANGE(""https://docs.google.com/spreadsheets/d/1kII0BjS6CtVrBvI8IrytgPdxDrlyQDyigz"&amp;"MsohRtDMs/edit?usp=share_link"",""อุทัยธานี!l634"")
"),5684995)</f>
        <v>5684995</v>
      </c>
      <c r="M634" s="93">
        <v>0</v>
      </c>
      <c r="N634" s="45">
        <f ca="1">N635+N636+N637+N638</f>
        <v>1026356.949999999</v>
      </c>
      <c r="O634" s="45">
        <f t="shared" ca="1" si="302"/>
        <v>18.053788086005333</v>
      </c>
      <c r="P634" s="45">
        <f t="shared" si="303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540"/>
      <c r="D635" s="540"/>
      <c r="E635" s="540"/>
      <c r="F635" s="541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xicF4apzSqm0-jIpmueT4kyZtE-Cwn5zskl7GD4loQ/edit?usp=share_link"",""กำแพงเพชร!n635"")+IMPORTRANGE(""https://docs.google.com/spreadsheets/d/1ZNYWeiFoFA1K1U4xKWqRX29MBvEyRHXORjo734Gnq_c/edit?usp=share_li"&amp;"nk"",""เชียงราย!n635"")
+IMPORTRANGE(""https://docs.google.com/spreadsheets/d/1Jgv0Y7YlHDtsiDawwp-uvifEJ8HVaSn0k2aGHG8-hwM/edit?usp=share_link"",""เชียงใหม่!n635"")+IMPORTRANGE(""https://docs.google.com/spreadsheets/d/1JWG2rZePOz9pe-f-ObA-yDr0VoOX2kSb0qIi"&amp;"x2mTUo8/edit?usp=share_link"",""ตาก!n635"")+IMPORTRANGE(""https://docs.google.com/spreadsheets/d/10nSRjK08hx8Y6HgSOQKNw81lyY46Zc7U_Cj72hBMp9U/edit?usp=share_link"",""นครสวรรค์!n635"")+IMPORTRANGE(""https://docs.google.com/spreadsheets/d/1gFVb7qd7amutrIxAA"&amp;"oM7lcy35hllxznovot8lyOfvDo/edit?usp=share_link"",""น่าน!n635"")+IMPORTRANGE(""https://docs.google.com/spreadsheets/d/1K0Aa9s-6EuHE5M0FG1F9aHLXRCOV917xvycTdLdct0w/edit?usp=share_link"",""พะเยา!n635"")+IMPORTRANGE(""https://docs.google.com/spreadsheets/d/1Y"&amp;"9LPKx95PyL5OKy09d-KbKJSuuEZCFdkhYjwC0XQjBA/edit?usp=share_link"",""พิจิตร!n635"")+IMPORTRANGE(""https://docs.google.com/spreadsheets/d/16OMuOwy2eVqZcYWOouQtTpa8X1L23h4660uVHc0C8os/edit?usp=share_link"",""พิษณุโลก!n635"")+IMPORTRANGE(""https://docs.google."&amp;"com/spreadsheets/d/1GfgTldLG6k77HXaMQzaafODklYuucJZQNs_GAPEfZyY/edit?usp=share_link"",""เพชรบูรณ์!n635"")+IMPORTRANGE(""https://docs.google.com/spreadsheets/d/1gvTMYAnm7v1yG1BKWFtr0DnaTsq59oW9dwWvFgq6hs0/edit?usp=share_link"",""แพร่!n635"")+IMPORTRANGE("""&amp;"https://docs.google.com/spreadsheets/d/1Wbcosgy-Xa1xXUArJSOenub6EfZHUSzc_bpJFWwQUf0/edit?usp=share_link"",""แม่ฮ่องสอน!n635"")+IMPORTRANGE(""https://docs.google.com/spreadsheets/d/1p7ERhsr0qZeSn-KSOdeHS9r0heI-lHtkcn2OH7hP0jQ/edit?usp=share_link"",""ลำปาง!"&amp;"n635"")+IMPORTRANGE(""https://docs.google.com/spreadsheets/d/1-uUXvimVhiU2U0bMN-xi2te0tS4X7DI2GLPnMjzl8cA/edit?usp=share_link"",""ลำพูน!n635"")+IMPORTRANGE(""https://docs.google.com/spreadsheets/d/17HrOaa5pBUI1onckFfumXB8xlg35qb2uBAFfF1D-Myo/edit?usp=shar"&amp;"e_link"",""สุโขทัย!n635"")+IMPORTRANGE(""https://docs.google.com/spreadsheets/d/1ubs5cl16eYL9gHbdHTJtmtYb9MGzHBs7CAphn8kNCgM/edit?usp=share_link"",""อุตรดิตถ์!n635"")+IMPORTRANGE(""https://docs.google.com/spreadsheets/d/1kII0BjS6CtVrBvI8IrytgPdxDrlyQDyigz"&amp;"MsohRtDMs/edit?usp=share_link"",""อุทัยธานี!n635"")
"),0)</f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540"/>
      <c r="D636" s="540"/>
      <c r="E636" s="540"/>
      <c r="F636" s="541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xicF4apzSqm0-jIpmueT4kyZtE-Cwn5zskl7GD4loQ/edit?usp=share_link"",""กำแพงเพชร!n636"")+IMPORTRANGE(""https://docs.google.com/spreadsheets/d/1ZNYWeiFoFA1K1U4xKWqRX29MBvEyRHXORjo734Gnq_c/edit?usp=share_li"&amp;"nk"",""เชียงราย!n636"")
+IMPORTRANGE(""https://docs.google.com/spreadsheets/d/1Jgv0Y7YlHDtsiDawwp-uvifEJ8HVaSn0k2aGHG8-hwM/edit?usp=share_link"",""เชียงใหม่!n636"")+IMPORTRANGE(""https://docs.google.com/spreadsheets/d/1JWG2rZePOz9pe-f-ObA-yDr0VoOX2kSb0qIi"&amp;"x2mTUo8/edit?usp=share_link"",""ตาก!n636"")+IMPORTRANGE(""https://docs.google.com/spreadsheets/d/10nSRjK08hx8Y6HgSOQKNw81lyY46Zc7U_Cj72hBMp9U/edit?usp=share_link"",""นครสวรรค์!n636"")+IMPORTRANGE(""https://docs.google.com/spreadsheets/d/1gFVb7qd7amutrIxAA"&amp;"oM7lcy35hllxznovot8lyOfvDo/edit?usp=share_link"",""น่าน!n636"")+IMPORTRANGE(""https://docs.google.com/spreadsheets/d/1K0Aa9s-6EuHE5M0FG1F9aHLXRCOV917xvycTdLdct0w/edit?usp=share_link"",""พะเยา!n636"")+IMPORTRANGE(""https://docs.google.com/spreadsheets/d/1Y"&amp;"9LPKx95PyL5OKy09d-KbKJSuuEZCFdkhYjwC0XQjBA/edit?usp=share_link"",""พิจิตร!n636"")+IMPORTRANGE(""https://docs.google.com/spreadsheets/d/16OMuOwy2eVqZcYWOouQtTpa8X1L23h4660uVHc0C8os/edit?usp=share_link"",""พิษณุโลก!n636"")+IMPORTRANGE(""https://docs.google."&amp;"com/spreadsheets/d/1GfgTldLG6k77HXaMQzaafODklYuucJZQNs_GAPEfZyY/edit?usp=share_link"",""เพชรบูรณ์!n636"")+IMPORTRANGE(""https://docs.google.com/spreadsheets/d/1gvTMYAnm7v1yG1BKWFtr0DnaTsq59oW9dwWvFgq6hs0/edit?usp=share_link"",""แพร่!n636"")+IMPORTRANGE("""&amp;"https://docs.google.com/spreadsheets/d/1Wbcosgy-Xa1xXUArJSOenub6EfZHUSzc_bpJFWwQUf0/edit?usp=share_link"",""แม่ฮ่องสอน!n636"")+IMPORTRANGE(""https://docs.google.com/spreadsheets/d/1p7ERhsr0qZeSn-KSOdeHS9r0heI-lHtkcn2OH7hP0jQ/edit?usp=share_link"",""ลำปาง!"&amp;"n636"")+IMPORTRANGE(""https://docs.google.com/spreadsheets/d/1-uUXvimVhiU2U0bMN-xi2te0tS4X7DI2GLPnMjzl8cA/edit?usp=share_link"",""ลำพูน!n636"")+IMPORTRANGE(""https://docs.google.com/spreadsheets/d/17HrOaa5pBUI1onckFfumXB8xlg35qb2uBAFfF1D-Myo/edit?usp=shar"&amp;"e_link"",""สุโขทัย!n636"")+IMPORTRANGE(""https://docs.google.com/spreadsheets/d/1ubs5cl16eYL9gHbdHTJtmtYb9MGzHBs7CAphn8kNCgM/edit?usp=share_link"",""อุตรดิตถ์!n636"")+IMPORTRANGE(""https://docs.google.com/spreadsheets/d/1kII0BjS6CtVrBvI8IrytgPdxDrlyQDyigz"&amp;"MsohRtDMs/edit?usp=share_link"",""อุทัยธานี!n636"")
"),0)</f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540"/>
      <c r="D637" s="540"/>
      <c r="E637" s="540"/>
      <c r="F637" s="541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xicF4apzSqm0-jIpmueT4kyZtE-Cwn5zskl7GD4loQ/edit?usp=share_link"",""กำแพงเพชร!n637"")+IMPORTRANGE(""https://docs.google.com/spreadsheets/d/1ZNYWeiFoFA1K1U4xKWqRX29MBvEyRHXORjo734Gnq_c/edit?usp=share_li"&amp;"nk"",""เชียงราย!n637"")
+IMPORTRANGE(""https://docs.google.com/spreadsheets/d/1Jgv0Y7YlHDtsiDawwp-uvifEJ8HVaSn0k2aGHG8-hwM/edit?usp=share_link"",""เชียงใหม่!n637"")+IMPORTRANGE(""https://docs.google.com/spreadsheets/d/1JWG2rZePOz9pe-f-ObA-yDr0VoOX2kSb0qIi"&amp;"x2mTUo8/edit?usp=share_link"",""ตาก!n637"")+IMPORTRANGE(""https://docs.google.com/spreadsheets/d/10nSRjK08hx8Y6HgSOQKNw81lyY46Zc7U_Cj72hBMp9U/edit?usp=share_link"",""นครสวรรค์!n637"")+IMPORTRANGE(""https://docs.google.com/spreadsheets/d/1gFVb7qd7amutrIxAA"&amp;"oM7lcy35hllxznovot8lyOfvDo/edit?usp=share_link"",""น่าน!n637"")+IMPORTRANGE(""https://docs.google.com/spreadsheets/d/1K0Aa9s-6EuHE5M0FG1F9aHLXRCOV917xvycTdLdct0w/edit?usp=share_link"",""พะเยา!n637"")+IMPORTRANGE(""https://docs.google.com/spreadsheets/d/1Y"&amp;"9LPKx95PyL5OKy09d-KbKJSuuEZCFdkhYjwC0XQjBA/edit?usp=share_link"",""พิจิตร!n637"")+IMPORTRANGE(""https://docs.google.com/spreadsheets/d/16OMuOwy2eVqZcYWOouQtTpa8X1L23h4660uVHc0C8os/edit?usp=share_link"",""พิษณุโลก!n637"")+IMPORTRANGE(""https://docs.google."&amp;"com/spreadsheets/d/1GfgTldLG6k77HXaMQzaafODklYuucJZQNs_GAPEfZyY/edit?usp=share_link"",""เพชรบูรณ์!n637"")+IMPORTRANGE(""https://docs.google.com/spreadsheets/d/1gvTMYAnm7v1yG1BKWFtr0DnaTsq59oW9dwWvFgq6hs0/edit?usp=share_link"",""แพร่!n637"")+IMPORTRANGE("""&amp;"https://docs.google.com/spreadsheets/d/1Wbcosgy-Xa1xXUArJSOenub6EfZHUSzc_bpJFWwQUf0/edit?usp=share_link"",""แม่ฮ่องสอน!n637"")+IMPORTRANGE(""https://docs.google.com/spreadsheets/d/1p7ERhsr0qZeSn-KSOdeHS9r0heI-lHtkcn2OH7hP0jQ/edit?usp=share_link"",""ลำปาง!"&amp;"n637"")+IMPORTRANGE(""https://docs.google.com/spreadsheets/d/1-uUXvimVhiU2U0bMN-xi2te0tS4X7DI2GLPnMjzl8cA/edit?usp=share_link"",""ลำพูน!n637"")+IMPORTRANGE(""https://docs.google.com/spreadsheets/d/17HrOaa5pBUI1onckFfumXB8xlg35qb2uBAFfF1D-Myo/edit?usp=shar"&amp;"e_link"",""สุโขทัย!n637"")+IMPORTRANGE(""https://docs.google.com/spreadsheets/d/1ubs5cl16eYL9gHbdHTJtmtYb9MGzHBs7CAphn8kNCgM/edit?usp=share_link"",""อุตรดิตถ์!n637"")+IMPORTRANGE(""https://docs.google.com/spreadsheets/d/1kII0BjS6CtVrBvI8IrytgPdxDrlyQDyigz"&amp;"MsohRtDMs/edit?usp=share_link"",""อุทัยธานี!n637"")
"),298566.67)</f>
        <v>298566.67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540"/>
      <c r="D638" s="540"/>
      <c r="E638" s="540"/>
      <c r="F638" s="541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xicF4apzSqm0-jIpmueT4kyZtE-Cwn5zskl7GD4loQ/edit?usp=share_link"",""กำแพงเพชร!n638"")+IMPORTRANGE(""https://docs.google.com/spreadsheets/d/1ZNYWeiFoFA1K1U4xKWqRX29MBvEyRHXORjo734Gnq_c/edit?usp=share_li"&amp;"nk"",""เชียงราย!n638"")
+IMPORTRANGE(""https://docs.google.com/spreadsheets/d/1Jgv0Y7YlHDtsiDawwp-uvifEJ8HVaSn0k2aGHG8-hwM/edit?usp=share_link"",""เชียงใหม่!n638"")+IMPORTRANGE(""https://docs.google.com/spreadsheets/d/1JWG2rZePOz9pe-f-ObA-yDr0VoOX2kSb0qIi"&amp;"x2mTUo8/edit?usp=share_link"",""ตาก!n638"")+IMPORTRANGE(""https://docs.google.com/spreadsheets/d/10nSRjK08hx8Y6HgSOQKNw81lyY46Zc7U_Cj72hBMp9U/edit?usp=share_link"",""นครสวรรค์!n638"")+IMPORTRANGE(""https://docs.google.com/spreadsheets/d/1gFVb7qd7amutrIxAA"&amp;"oM7lcy35hllxznovot8lyOfvDo/edit?usp=share_link"",""น่าน!n638"")+IMPORTRANGE(""https://docs.google.com/spreadsheets/d/1K0Aa9s-6EuHE5M0FG1F9aHLXRCOV917xvycTdLdct0w/edit?usp=share_link"",""พะเยา!n638"")+IMPORTRANGE(""https://docs.google.com/spreadsheets/d/1Y"&amp;"9LPKx95PyL5OKy09d-KbKJSuuEZCFdkhYjwC0XQjBA/edit?usp=share_link"",""พิจิตร!n638"")+IMPORTRANGE(""https://docs.google.com/spreadsheets/d/16OMuOwy2eVqZcYWOouQtTpa8X1L23h4660uVHc0C8os/edit?usp=share_link"",""พิษณุโลก!n638"")+IMPORTRANGE(""https://docs.google."&amp;"com/spreadsheets/d/1GfgTldLG6k77HXaMQzaafODklYuucJZQNs_GAPEfZyY/edit?usp=share_link"",""เพชรบูรณ์!n638"")+IMPORTRANGE(""https://docs.google.com/spreadsheets/d/1gvTMYAnm7v1yG1BKWFtr0DnaTsq59oW9dwWvFgq6hs0/edit?usp=share_link"",""แพร่!n638"")+IMPORTRANGE("""&amp;"https://docs.google.com/spreadsheets/d/1Wbcosgy-Xa1xXUArJSOenub6EfZHUSzc_bpJFWwQUf0/edit?usp=share_link"",""แม่ฮ่องสอน!n638"")+IMPORTRANGE(""https://docs.google.com/spreadsheets/d/1p7ERhsr0qZeSn-KSOdeHS9r0heI-lHtkcn2OH7hP0jQ/edit?usp=share_link"",""ลำปาง!"&amp;"n638"")+IMPORTRANGE(""https://docs.google.com/spreadsheets/d/1-uUXvimVhiU2U0bMN-xi2te0tS4X7DI2GLPnMjzl8cA/edit?usp=share_link"",""ลำพูน!n638"")+IMPORTRANGE(""https://docs.google.com/spreadsheets/d/17HrOaa5pBUI1onckFfumXB8xlg35qb2uBAFfF1D-Myo/edit?usp=shar"&amp;"e_link"",""สุโขทัย!n638"")+IMPORTRANGE(""https://docs.google.com/spreadsheets/d/1ubs5cl16eYL9gHbdHTJtmtYb9MGzHBs7CAphn8kNCgM/edit?usp=share_link"",""อุตรดิตถ์!n638"")+IMPORTRANGE(""https://docs.google.com/spreadsheets/d/1kII0BjS6CtVrBvI8IrytgPdxDrlyQDyigz"&amp;"MsohRtDMs/edit?usp=share_link"",""อุทัยธานี!n638"")
"),727790.279999999)</f>
        <v>727790.27999999898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540"/>
      <c r="D639" s="571" t="s">
        <v>21</v>
      </c>
      <c r="E639" s="540"/>
      <c r="F639" s="540"/>
      <c r="G639" s="189"/>
      <c r="H639" s="168" t="s">
        <v>12</v>
      </c>
      <c r="I639" s="162"/>
      <c r="J639" s="162"/>
      <c r="K639" s="163"/>
      <c r="L639" s="38">
        <f t="shared" ref="L639:N639" ca="1" si="307">L640+L641</f>
        <v>0</v>
      </c>
      <c r="M639" s="38">
        <f t="shared" si="307"/>
        <v>0</v>
      </c>
      <c r="N639" s="38">
        <f t="shared" si="307"/>
        <v>0</v>
      </c>
      <c r="O639" s="38">
        <f t="shared" ref="O639:O641" ca="1" si="308">IF(L639&gt;0,N639*100/L639,0)</f>
        <v>0</v>
      </c>
      <c r="P639" s="38">
        <f t="shared" ref="P639:P641" si="309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0"/>
      <c r="C640" s="565"/>
      <c r="D640" s="565"/>
      <c r="E640" s="567" t="s">
        <v>18</v>
      </c>
      <c r="F640" s="565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8"/>
        <v>0</v>
      </c>
      <c r="P640" s="45">
        <f t="shared" si="309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0"/>
      <c r="C641" s="565"/>
      <c r="D641" s="565"/>
      <c r="E641" s="567" t="s">
        <v>19</v>
      </c>
      <c r="F641" s="565"/>
      <c r="G641" s="56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xicF4apzSqm0-jIpmueT4kyZtE-Cwn5zskl7GD4loQ/edit?usp=share_link"",""กำแพงเพชร!l641"")+IMPORTRANGE(""https://docs.google.com/spreadsheets/d/1ZNYWeiFoFA1K1U4xKWqRX29MBvEyRHXORjo734Gnq_c/edit?usp=share_li"&amp;"nk"",""เชียงราย!l641"")
+IMPORTRANGE(""https://docs.google.com/spreadsheets/d/1Jgv0Y7YlHDtsiDawwp-uvifEJ8HVaSn0k2aGHG8-hwM/edit?usp=share_link"",""เชียงใหม่!l641"")+IMPORTRANGE(""https://docs.google.com/spreadsheets/d/1JWG2rZePOz9pe-f-ObA-yDr0VoOX2kSb0qIi"&amp;"x2mTUo8/edit?usp=share_link"",""ตาก!l641"")+IMPORTRANGE(""https://docs.google.com/spreadsheets/d/10nSRjK08hx8Y6HgSOQKNw81lyY46Zc7U_Cj72hBMp9U/edit?usp=share_link"",""นครสวรรค์!l641"")+IMPORTRANGE(""https://docs.google.com/spreadsheets/d/1gFVb7qd7amutrIxAA"&amp;"oM7lcy35hllxznovot8lyOfvDo/edit?usp=share_link"",""น่าน!l641"")+IMPORTRANGE(""https://docs.google.com/spreadsheets/d/1K0Aa9s-6EuHE5M0FG1F9aHLXRCOV917xvycTdLdct0w/edit?usp=share_link"",""พะเยา!l641"")+IMPORTRANGE(""https://docs.google.com/spreadsheets/d/1Y"&amp;"9LPKx95PyL5OKy09d-KbKJSuuEZCFdkhYjwC0XQjBA/edit?usp=share_link"",""พิจิตร!l641"")+IMPORTRANGE(""https://docs.google.com/spreadsheets/d/16OMuOwy2eVqZcYWOouQtTpa8X1L23h4660uVHc0C8os/edit?usp=share_link"",""พิษณุโลก!l641"")+IMPORTRANGE(""https://docs.google."&amp;"com/spreadsheets/d/1GfgTldLG6k77HXaMQzaafODklYuucJZQNs_GAPEfZyY/edit?usp=share_link"",""เพชรบูรณ์!l641"")+IMPORTRANGE(""https://docs.google.com/spreadsheets/d/1gvTMYAnm7v1yG1BKWFtr0DnaTsq59oW9dwWvFgq6hs0/edit?usp=share_link"",""แพร่!l641"")+IMPORTRANGE("""&amp;"https://docs.google.com/spreadsheets/d/1Wbcosgy-Xa1xXUArJSOenub6EfZHUSzc_bpJFWwQUf0/edit?usp=share_link"",""แม่ฮ่องสอน!l641"")+IMPORTRANGE(""https://docs.google.com/spreadsheets/d/1p7ERhsr0qZeSn-KSOdeHS9r0heI-lHtkcn2OH7hP0jQ/edit?usp=share_link"",""ลำปาง!"&amp;"l641"")+IMPORTRANGE(""https://docs.google.com/spreadsheets/d/1-uUXvimVhiU2U0bMN-xi2te0tS4X7DI2GLPnMjzl8cA/edit?usp=share_link"",""ลำพูน!l641"")+IMPORTRANGE(""https://docs.google.com/spreadsheets/d/17HrOaa5pBUI1onckFfumXB8xlg35qb2uBAFfF1D-Myo/edit?usp=shar"&amp;"e_link"",""สุโขทัย!l641"")+IMPORTRANGE(""https://docs.google.com/spreadsheets/d/1ubs5cl16eYL9gHbdHTJtmtYb9MGzHBs7CAphn8kNCgM/edit?usp=share_link"",""อุตรดิตถ์!l641"")+IMPORTRANGE(""https://docs.google.com/spreadsheets/d/1kII0BjS6CtVrBvI8IrytgPdxDrlyQDyigz"&amp;"MsohRtDMs/edit?usp=share_link"",""อุทัยธานี!l641"")
"),0)</f>
        <v>0</v>
      </c>
      <c r="M641" s="93">
        <v>0</v>
      </c>
      <c r="N641" s="93">
        <v>0</v>
      </c>
      <c r="O641" s="45">
        <f t="shared" ca="1" si="308"/>
        <v>0</v>
      </c>
      <c r="P641" s="45">
        <f t="shared" si="309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74"/>
      <c r="C642" s="540" t="s">
        <v>16</v>
      </c>
      <c r="D642" s="646" t="s">
        <v>38</v>
      </c>
      <c r="E642" s="577"/>
      <c r="F642" s="577"/>
      <c r="G642" s="578"/>
      <c r="H642" s="175"/>
      <c r="I642" s="162"/>
      <c r="J642" s="162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11"/>
      <c r="B643" s="539"/>
      <c r="C643" s="540"/>
      <c r="D643" s="586"/>
      <c r="E643" s="712" t="s">
        <v>271</v>
      </c>
      <c r="F643" s="586"/>
      <c r="G643" s="175"/>
      <c r="H643" s="417" t="s">
        <v>272</v>
      </c>
      <c r="I643" s="270">
        <f ca="1">IFERROR(__xludf.DUMMYFUNCTION("IMPORTRANGE(""https://docs.google.com/spreadsheets/d/1KxicF4apzSqm0-jIpmueT4kyZtE-Cwn5zskl7GD4loQ/edit?usp=share_link"",""กำแพงเพชร!I643"")+IMPORTRANGE(""https://docs.google.com/spreadsheets/d/1ZNYWeiFoFA1K1U4xKWqRX29MBvEyRHXORjo734Gnq_c/edit?usp=share_li"&amp;"nk"",""เชียงราย!I643"")
+IMPORTRANGE(""https://docs.google.com/spreadsheets/d/1Jgv0Y7YlHDtsiDawwp-uvifEJ8HVaSn0k2aGHG8-hwM/edit?usp=share_link"",""เชียงใหม่!I643"")+IMPORTRANGE(""https://docs.google.com/spreadsheets/d/1JWG2rZePOz9pe-f-ObA-yDr0VoOX2kSb0qIi"&amp;"x2mTUo8/edit?usp=share_link"",""ตาก!I643"")+IMPORTRANGE(""https://docs.google.com/spreadsheets/d/10nSRjK08hx8Y6HgSOQKNw81lyY46Zc7U_Cj72hBMp9U/edit?usp=share_link"",""นครสวรรค์!I643"")+IMPORTRANGE(""https://docs.google.com/spreadsheets/d/1gFVb7qd7amutrIxAA"&amp;"oM7lcy35hllxznovot8lyOfvDo/edit?usp=share_link"",""น่าน!I643"")+IMPORTRANGE(""https://docs.google.com/spreadsheets/d/1K0Aa9s-6EuHE5M0FG1F9aHLXRCOV917xvycTdLdct0w/edit?usp=share_link"",""พะเยา!I643"")+IMPORTRANGE(""https://docs.google.com/spreadsheets/d/1Y"&amp;"9LPKx95PyL5OKy09d-KbKJSuuEZCFdkhYjwC0XQjBA/edit?usp=share_link"",""พิจิตร!I643"")+IMPORTRANGE(""https://docs.google.com/spreadsheets/d/16OMuOwy2eVqZcYWOouQtTpa8X1L23h4660uVHc0C8os/edit?usp=share_link"",""พิษณุโลก!I643"")+IMPORTRANGE(""https://docs.google."&amp;"com/spreadsheets/d/1GfgTldLG6k77HXaMQzaafODklYuucJZQNs_GAPEfZyY/edit?usp=share_link"",""เพชรบูรณ์!I643"")+IMPORTRANGE(""https://docs.google.com/spreadsheets/d/1gvTMYAnm7v1yG1BKWFtr0DnaTsq59oW9dwWvFgq6hs0/edit?usp=share_link"",""แพร่!I643"")+IMPORTRANGE("""&amp;"https://docs.google.com/spreadsheets/d/1Wbcosgy-Xa1xXUArJSOenub6EfZHUSzc_bpJFWwQUf0/edit?usp=share_link"",""แม่ฮ่องสอน!I643"")+IMPORTRANGE(""https://docs.google.com/spreadsheets/d/1p7ERhsr0qZeSn-KSOdeHS9r0heI-lHtkcn2OH7hP0jQ/edit?usp=share_link"",""ลำปาง!"&amp;"I643"")+IMPORTRANGE(""https://docs.google.com/spreadsheets/d/1-uUXvimVhiU2U0bMN-xi2te0tS4X7DI2GLPnMjzl8cA/edit?usp=share_link"",""ลำพูน!I643"")+IMPORTRANGE(""https://docs.google.com/spreadsheets/d/17HrOaa5pBUI1onckFfumXB8xlg35qb2uBAFfF1D-Myo/edit?usp=shar"&amp;"e_link"",""สุโขทัย!I643"")+IMPORTRANGE(""https://docs.google.com/spreadsheets/d/1ubs5cl16eYL9gHbdHTJtmtYb9MGzHBs7CAphn8kNCgM/edit?usp=share_link"",""อุตรดิตถ์!I643"")+IMPORTRANGE(""https://docs.google.com/spreadsheets/d/1kII0BjS6CtVrBvI8IrytgPdxDrlyQDyigz"&amp;"MsohRtDMs/edit?usp=share_link"",""อุทัยธานี!I643"")
"),14)</f>
        <v>14</v>
      </c>
      <c r="J643" s="183">
        <f ca="1">IFERROR(__xludf.DUMMYFUNCTION("IMPORTRANGE(""https://docs.google.com/spreadsheets/d/1KxicF4apzSqm0-jIpmueT4kyZtE-Cwn5zskl7GD4loQ/edit?usp=share_link"",""กำแพงเพชร!J643"")+IMPORTRANGE(""https://docs.google.com/spreadsheets/d/1ZNYWeiFoFA1K1U4xKWqRX29MBvEyRHXORjo734Gnq_c/edit?usp=share_li"&amp;"nk"",""เชียงราย!J643"")
+IMPORTRANGE(""https://docs.google.com/spreadsheets/d/1Jgv0Y7YlHDtsiDawwp-uvifEJ8HVaSn0k2aGHG8-hwM/edit?usp=share_link"",""เชียงใหม่!J643"")+IMPORTRANGE(""https://docs.google.com/spreadsheets/d/1JWG2rZePOz9pe-f-ObA-yDr0VoOX2kSb0qIi"&amp;"x2mTUo8/edit?usp=share_link"",""ตาก!J643"")+IMPORTRANGE(""https://docs.google.com/spreadsheets/d/10nSRjK08hx8Y6HgSOQKNw81lyY46Zc7U_Cj72hBMp9U/edit?usp=share_link"",""นครสวรรค์!J643"")+IMPORTRANGE(""https://docs.google.com/spreadsheets/d/1gFVb7qd7amutrIxAA"&amp;"oM7lcy35hllxznovot8lyOfvDo/edit?usp=share_link"",""น่าน!J643"")+IMPORTRANGE(""https://docs.google.com/spreadsheets/d/1K0Aa9s-6EuHE5M0FG1F9aHLXRCOV917xvycTdLdct0w/edit?usp=share_link"",""พะเยา!J643"")+IMPORTRANGE(""https://docs.google.com/spreadsheets/d/1Y"&amp;"9LPKx95PyL5OKy09d-KbKJSuuEZCFdkhYjwC0XQjBA/edit?usp=share_link"",""พิจิตร!J643"")+IMPORTRANGE(""https://docs.google.com/spreadsheets/d/16OMuOwy2eVqZcYWOouQtTpa8X1L23h4660uVHc0C8os/edit?usp=share_link"",""พิษณุโลก!J643"")+IMPORTRANGE(""https://docs.google."&amp;"com/spreadsheets/d/1GfgTldLG6k77HXaMQzaafODklYuucJZQNs_GAPEfZyY/edit?usp=share_link"",""เพชรบูรณ์!J643"")+IMPORTRANGE(""https://docs.google.com/spreadsheets/d/1gvTMYAnm7v1yG1BKWFtr0DnaTsq59oW9dwWvFgq6hs0/edit?usp=share_link"",""แพร่!J643"")+IMPORTRANGE("""&amp;"https://docs.google.com/spreadsheets/d/1Wbcosgy-Xa1xXUArJSOenub6EfZHUSzc_bpJFWwQUf0/edit?usp=share_link"",""แม่ฮ่องสอน!J643"")+IMPORTRANGE(""https://docs.google.com/spreadsheets/d/1p7ERhsr0qZeSn-KSOdeHS9r0heI-lHtkcn2OH7hP0jQ/edit?usp=share_link"",""ลำปาง!"&amp;"J643"")+IMPORTRANGE(""https://docs.google.com/spreadsheets/d/1-uUXvimVhiU2U0bMN-xi2te0tS4X7DI2GLPnMjzl8cA/edit?usp=share_link"",""ลำพูน!J643"")+IMPORTRANGE(""https://docs.google.com/spreadsheets/d/17HrOaa5pBUI1onckFfumXB8xlg35qb2uBAFfF1D-Myo/edit?usp=shar"&amp;"e_link"",""สุโขทัย!J643"")+IMPORTRANGE(""https://docs.google.com/spreadsheets/d/1ubs5cl16eYL9gHbdHTJtmtYb9MGzHBs7CAphn8kNCgM/edit?usp=share_link"",""อุตรดิตถ์!J643"")+IMPORTRANGE(""https://docs.google.com/spreadsheets/d/1kII0BjS6CtVrBvI8IrytgPdxDrlyQDyigz"&amp;"MsohRtDMs/edit?usp=share_link"",""อุทัยธานี!J643"")
"),5)</f>
        <v>5</v>
      </c>
      <c r="K643" s="163">
        <f t="shared" ref="K643:K652" ca="1" si="310">IF(I643&gt;0,J643*100/I643,0)</f>
        <v>35.714285714285715</v>
      </c>
      <c r="L643" s="163"/>
      <c r="M643" s="163"/>
      <c r="N643" s="38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11"/>
      <c r="B644" s="539"/>
      <c r="C644" s="540"/>
      <c r="D644" s="586"/>
      <c r="E644" s="712" t="s">
        <v>273</v>
      </c>
      <c r="F644" s="586"/>
      <c r="G644" s="175"/>
      <c r="H644" s="417" t="s">
        <v>274</v>
      </c>
      <c r="I644" s="270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644" s="183">
        <f ca="1">IFERROR(__xludf.DUMMYFUNCTION("IMPORTRANGE(""https://docs.google.com/spreadsheets/d/1KxicF4apzSqm0-jIpmueT4kyZtE-Cwn5zskl7GD4loQ/edit?usp=share_link"",""กำแพงเพชร!J644"")+IMPORTRANGE(""https://docs.google.com/spreadsheets/d/1ZNYWeiFoFA1K1U4xKWqRX29MBvEyRHXORjo734Gnq_c/edit?usp=share_li"&amp;"nk"",""เชียงราย!J644"")
+IMPORTRANGE(""https://docs.google.com/spreadsheets/d/1Jgv0Y7YlHDtsiDawwp-uvifEJ8HVaSn0k2aGHG8-hwM/edit?usp=share_link"",""เชียงใหม่!J644"")+IMPORTRANGE(""https://docs.google.com/spreadsheets/d/1JWG2rZePOz9pe-f-ObA-yDr0VoOX2kSb0qIi"&amp;"x2mTUo8/edit?usp=share_link"",""ตาก!J644"")+IMPORTRANGE(""https://docs.google.com/spreadsheets/d/10nSRjK08hx8Y6HgSOQKNw81lyY46Zc7U_Cj72hBMp9U/edit?usp=share_link"",""นครสวรรค์!J644"")+IMPORTRANGE(""https://docs.google.com/spreadsheets/d/1gFVb7qd7amutrIxAA"&amp;"oM7lcy35hllxznovot8lyOfvDo/edit?usp=share_link"",""น่าน!J644"")+IMPORTRANGE(""https://docs.google.com/spreadsheets/d/1K0Aa9s-6EuHE5M0FG1F9aHLXRCOV917xvycTdLdct0w/edit?usp=share_link"",""พะเยา!J644"")+IMPORTRANGE(""https://docs.google.com/spreadsheets/d/1Y"&amp;"9LPKx95PyL5OKy09d-KbKJSuuEZCFdkhYjwC0XQjBA/edit?usp=share_link"",""พิจิตร!J644"")+IMPORTRANGE(""https://docs.google.com/spreadsheets/d/16OMuOwy2eVqZcYWOouQtTpa8X1L23h4660uVHc0C8os/edit?usp=share_link"",""พิษณุโลก!J644"")+IMPORTRANGE(""https://docs.google."&amp;"com/spreadsheets/d/1GfgTldLG6k77HXaMQzaafODklYuucJZQNs_GAPEfZyY/edit?usp=share_link"",""เพชรบูรณ์!J644"")+IMPORTRANGE(""https://docs.google.com/spreadsheets/d/1gvTMYAnm7v1yG1BKWFtr0DnaTsq59oW9dwWvFgq6hs0/edit?usp=share_link"",""แพร่!J644"")+IMPORTRANGE("""&amp;"https://docs.google.com/spreadsheets/d/1Wbcosgy-Xa1xXUArJSOenub6EfZHUSzc_bpJFWwQUf0/edit?usp=share_link"",""แม่ฮ่องสอน!J644"")+IMPORTRANGE(""https://docs.google.com/spreadsheets/d/1p7ERhsr0qZeSn-KSOdeHS9r0heI-lHtkcn2OH7hP0jQ/edit?usp=share_link"",""ลำปาง!"&amp;"J644"")+IMPORTRANGE(""https://docs.google.com/spreadsheets/d/1-uUXvimVhiU2U0bMN-xi2te0tS4X7DI2GLPnMjzl8cA/edit?usp=share_link"",""ลำพูน!J644"")+IMPORTRANGE(""https://docs.google.com/spreadsheets/d/17HrOaa5pBUI1onckFfumXB8xlg35qb2uBAFfF1D-Myo/edit?usp=shar"&amp;"e_link"",""สุโขทัย!J644"")+IMPORTRANGE(""https://docs.google.com/spreadsheets/d/1ubs5cl16eYL9gHbdHTJtmtYb9MGzHBs7CAphn8kNCgM/edit?usp=share_link"",""อุตรดิตถ์!J644"")+IMPORTRANGE(""https://docs.google.com/spreadsheets/d/1kII0BjS6CtVrBvI8IrytgPdxDrlyQDyigz"&amp;"MsohRtDMs/edit?usp=share_link"",""อุทัยธานี!J644"")
"),5)</f>
        <v>5</v>
      </c>
      <c r="K644" s="163">
        <f t="shared" ca="1" si="310"/>
        <v>125</v>
      </c>
      <c r="L644" s="163"/>
      <c r="M644" s="163"/>
      <c r="N644" s="38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11"/>
      <c r="B645" s="539"/>
      <c r="C645" s="540"/>
      <c r="D645" s="586"/>
      <c r="E645" s="713" t="s">
        <v>275</v>
      </c>
      <c r="F645" s="586"/>
      <c r="G645" s="175"/>
      <c r="H645" s="182" t="s">
        <v>34</v>
      </c>
      <c r="I645" s="270">
        <v>0</v>
      </c>
      <c r="J645" s="37">
        <f ca="1">IFERROR(__xludf.DUMMYFUNCTION("IMPORTRANGE(""https://docs.google.com/spreadsheets/d/1KxicF4apzSqm0-jIpmueT4kyZtE-Cwn5zskl7GD4loQ/edit?usp=share_link"",""กำแพงเพชร!J645"")+IMPORTRANGE(""https://docs.google.com/spreadsheets/d/1ZNYWeiFoFA1K1U4xKWqRX29MBvEyRHXORjo734Gnq_c/edit?usp=share_li"&amp;"nk"",""เชียงราย!J645"")
+IMPORTRANGE(""https://docs.google.com/spreadsheets/d/1Jgv0Y7YlHDtsiDawwp-uvifEJ8HVaSn0k2aGHG8-hwM/edit?usp=share_link"",""เชียงใหม่!J645"")+IMPORTRANGE(""https://docs.google.com/spreadsheets/d/1JWG2rZePOz9pe-f-ObA-yDr0VoOX2kSb0qIi"&amp;"x2mTUo8/edit?usp=share_link"",""ตาก!J645"")+IMPORTRANGE(""https://docs.google.com/spreadsheets/d/10nSRjK08hx8Y6HgSOQKNw81lyY46Zc7U_Cj72hBMp9U/edit?usp=share_link"",""นครสวรรค์!J645"")+IMPORTRANGE(""https://docs.google.com/spreadsheets/d/1gFVb7qd7amutrIxAA"&amp;"oM7lcy35hllxznovot8lyOfvDo/edit?usp=share_link"",""น่าน!J645"")+IMPORTRANGE(""https://docs.google.com/spreadsheets/d/1K0Aa9s-6EuHE5M0FG1F9aHLXRCOV917xvycTdLdct0w/edit?usp=share_link"",""พะเยา!J645"")+IMPORTRANGE(""https://docs.google.com/spreadsheets/d/1Y"&amp;"9LPKx95PyL5OKy09d-KbKJSuuEZCFdkhYjwC0XQjBA/edit?usp=share_link"",""พิจิตร!J645"")+IMPORTRANGE(""https://docs.google.com/spreadsheets/d/16OMuOwy2eVqZcYWOouQtTpa8X1L23h4660uVHc0C8os/edit?usp=share_link"",""พิษณุโลก!J645"")+IMPORTRANGE(""https://docs.google."&amp;"com/spreadsheets/d/1GfgTldLG6k77HXaMQzaafODklYuucJZQNs_GAPEfZyY/edit?usp=share_link"",""เพชรบูรณ์!J645"")+IMPORTRANGE(""https://docs.google.com/spreadsheets/d/1gvTMYAnm7v1yG1BKWFtr0DnaTsq59oW9dwWvFgq6hs0/edit?usp=share_link"",""แพร่!J645"")+IMPORTRANGE("""&amp;"https://docs.google.com/spreadsheets/d/1Wbcosgy-Xa1xXUArJSOenub6EfZHUSzc_bpJFWwQUf0/edit?usp=share_link"",""แม่ฮ่องสอน!J645"")+IMPORTRANGE(""https://docs.google.com/spreadsheets/d/1p7ERhsr0qZeSn-KSOdeHS9r0heI-lHtkcn2OH7hP0jQ/edit?usp=share_link"",""ลำปาง!"&amp;"J645"")+IMPORTRANGE(""https://docs.google.com/spreadsheets/d/1-uUXvimVhiU2U0bMN-xi2te0tS4X7DI2GLPnMjzl8cA/edit?usp=share_link"",""ลำพูน!J645"")+IMPORTRANGE(""https://docs.google.com/spreadsheets/d/17HrOaa5pBUI1onckFfumXB8xlg35qb2uBAFfF1D-Myo/edit?usp=shar"&amp;"e_link"",""สุโขทัย!J645"")+IMPORTRANGE(""https://docs.google.com/spreadsheets/d/1ubs5cl16eYL9gHbdHTJtmtYb9MGzHBs7CAphn8kNCgM/edit?usp=share_link"",""อุตรดิตถ์!J645"")+IMPORTRANGE(""https://docs.google.com/spreadsheets/d/1kII0BjS6CtVrBvI8IrytgPdxDrlyQDyigz"&amp;"MsohRtDMs/edit?usp=share_link"",""อุทัยธานี!J645"")
"),753)</f>
        <v>753</v>
      </c>
      <c r="K645" s="163">
        <f t="shared" si="310"/>
        <v>0</v>
      </c>
      <c r="L645" s="163"/>
      <c r="M645" s="163"/>
      <c r="N645" s="38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11"/>
      <c r="B646" s="539"/>
      <c r="C646" s="540"/>
      <c r="D646" s="586"/>
      <c r="E646" s="586"/>
      <c r="F646" s="586"/>
      <c r="G646" s="175"/>
      <c r="H646" s="182" t="s">
        <v>46</v>
      </c>
      <c r="I646" s="270">
        <v>0</v>
      </c>
      <c r="J646" s="37">
        <f ca="1">IFERROR(__xludf.DUMMYFUNCTION("IMPORTRANGE(""https://docs.google.com/spreadsheets/d/1KxicF4apzSqm0-jIpmueT4kyZtE-Cwn5zskl7GD4loQ/edit?usp=share_link"",""กำแพงเพชร!J646"")+IMPORTRANGE(""https://docs.google.com/spreadsheets/d/1ZNYWeiFoFA1K1U4xKWqRX29MBvEyRHXORjo734Gnq_c/edit?usp=share_li"&amp;"nk"",""เชียงราย!J646"")
+IMPORTRANGE(""https://docs.google.com/spreadsheets/d/1Jgv0Y7YlHDtsiDawwp-uvifEJ8HVaSn0k2aGHG8-hwM/edit?usp=share_link"",""เชียงใหม่!J646"")+IMPORTRANGE(""https://docs.google.com/spreadsheets/d/1JWG2rZePOz9pe-f-ObA-yDr0VoOX2kSb0qIi"&amp;"x2mTUo8/edit?usp=share_link"",""ตาก!J646"")+IMPORTRANGE(""https://docs.google.com/spreadsheets/d/10nSRjK08hx8Y6HgSOQKNw81lyY46Zc7U_Cj72hBMp9U/edit?usp=share_link"",""นครสวรรค์!J646"")+IMPORTRANGE(""https://docs.google.com/spreadsheets/d/1gFVb7qd7amutrIxAA"&amp;"oM7lcy35hllxznovot8lyOfvDo/edit?usp=share_link"",""น่าน!J646"")+IMPORTRANGE(""https://docs.google.com/spreadsheets/d/1K0Aa9s-6EuHE5M0FG1F9aHLXRCOV917xvycTdLdct0w/edit?usp=share_link"",""พะเยา!J646"")+IMPORTRANGE(""https://docs.google.com/spreadsheets/d/1Y"&amp;"9LPKx95PyL5OKy09d-KbKJSuuEZCFdkhYjwC0XQjBA/edit?usp=share_link"",""พิจิตร!J646"")+IMPORTRANGE(""https://docs.google.com/spreadsheets/d/16OMuOwy2eVqZcYWOouQtTpa8X1L23h4660uVHc0C8os/edit?usp=share_link"",""พิษณุโลก!J646"")+IMPORTRANGE(""https://docs.google."&amp;"com/spreadsheets/d/1GfgTldLG6k77HXaMQzaafODklYuucJZQNs_GAPEfZyY/edit?usp=share_link"",""เพชรบูรณ์!J646"")+IMPORTRANGE(""https://docs.google.com/spreadsheets/d/1gvTMYAnm7v1yG1BKWFtr0DnaTsq59oW9dwWvFgq6hs0/edit?usp=share_link"",""แพร่!J646"")+IMPORTRANGE("""&amp;"https://docs.google.com/spreadsheets/d/1Wbcosgy-Xa1xXUArJSOenub6EfZHUSzc_bpJFWwQUf0/edit?usp=share_link"",""แม่ฮ่องสอน!J646"")+IMPORTRANGE(""https://docs.google.com/spreadsheets/d/1p7ERhsr0qZeSn-KSOdeHS9r0heI-lHtkcn2OH7hP0jQ/edit?usp=share_link"",""ลำปาง!"&amp;"J646"")+IMPORTRANGE(""https://docs.google.com/spreadsheets/d/1-uUXvimVhiU2U0bMN-xi2te0tS4X7DI2GLPnMjzl8cA/edit?usp=share_link"",""ลำพูน!J646"")+IMPORTRANGE(""https://docs.google.com/spreadsheets/d/17HrOaa5pBUI1onckFfumXB8xlg35qb2uBAFfF1D-Myo/edit?usp=shar"&amp;"e_link"",""สุโขทัย!J646"")+IMPORTRANGE(""https://docs.google.com/spreadsheets/d/1ubs5cl16eYL9gHbdHTJtmtYb9MGzHBs7CAphn8kNCgM/edit?usp=share_link"",""อุตรดิตถ์!J646"")+IMPORTRANGE(""https://docs.google.com/spreadsheets/d/1kII0BjS6CtVrBvI8IrytgPdxDrlyQDyigz"&amp;"MsohRtDMs/edit?usp=share_link"",""อุทัยธานี!J646"")
"),463.07)</f>
        <v>463.07</v>
      </c>
      <c r="K646" s="38">
        <f t="shared" si="310"/>
        <v>0</v>
      </c>
      <c r="L646" s="163"/>
      <c r="M646" s="163"/>
      <c r="N646" s="38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11"/>
      <c r="B647" s="539"/>
      <c r="C647" s="540"/>
      <c r="D647" s="586"/>
      <c r="E647" s="263" t="s">
        <v>162</v>
      </c>
      <c r="F647" s="586"/>
      <c r="G647" s="175"/>
      <c r="H647" s="182" t="s">
        <v>35</v>
      </c>
      <c r="I647" s="37">
        <f ca="1">IFERROR(__xludf.DUMMYFUNCTION("IMPORTRANGE(""https://docs.google.com/spreadsheets/d/1KxicF4apzSqm0-jIpmueT4kyZtE-Cwn5zskl7GD4loQ/edit?usp=share_link"",""กำแพงเพชร!I647"")+IMPORTRANGE(""https://docs.google.com/spreadsheets/d/1ZNYWeiFoFA1K1U4xKWqRX29MBvEyRHXORjo734Gnq_c/edit?usp=share_li"&amp;"nk"",""เชียงราย!I647"")
+IMPORTRANGE(""https://docs.google.com/spreadsheets/d/1Jgv0Y7YlHDtsiDawwp-uvifEJ8HVaSn0k2aGHG8-hwM/edit?usp=share_link"",""เชียงใหม่!I647"")+IMPORTRANGE(""https://docs.google.com/spreadsheets/d/1JWG2rZePOz9pe-f-ObA-yDr0VoOX2kSb0qIi"&amp;"x2mTUo8/edit?usp=share_link"",""ตาก!I647"")+IMPORTRANGE(""https://docs.google.com/spreadsheets/d/10nSRjK08hx8Y6HgSOQKNw81lyY46Zc7U_Cj72hBMp9U/edit?usp=share_link"",""นครสวรรค์!I647"")+IMPORTRANGE(""https://docs.google.com/spreadsheets/d/1gFVb7qd7amutrIxAA"&amp;"oM7lcy35hllxznovot8lyOfvDo/edit?usp=share_link"",""น่าน!I647"")+IMPORTRANGE(""https://docs.google.com/spreadsheets/d/1K0Aa9s-6EuHE5M0FG1F9aHLXRCOV917xvycTdLdct0w/edit?usp=share_link"",""พะเยา!I647"")+IMPORTRANGE(""https://docs.google.com/spreadsheets/d/1Y"&amp;"9LPKx95PyL5OKy09d-KbKJSuuEZCFdkhYjwC0XQjBA/edit?usp=share_link"",""พิจิตร!I647"")+IMPORTRANGE(""https://docs.google.com/spreadsheets/d/16OMuOwy2eVqZcYWOouQtTpa8X1L23h4660uVHc0C8os/edit?usp=share_link"",""พิษณุโลก!I647"")+IMPORTRANGE(""https://docs.google."&amp;"com/spreadsheets/d/1GfgTldLG6k77HXaMQzaafODklYuucJZQNs_GAPEfZyY/edit?usp=share_link"",""เพชรบูรณ์!I647"")+IMPORTRANGE(""https://docs.google.com/spreadsheets/d/1gvTMYAnm7v1yG1BKWFtr0DnaTsq59oW9dwWvFgq6hs0/edit?usp=share_link"",""แพร่!I647"")+IMPORTRANGE("""&amp;"https://docs.google.com/spreadsheets/d/1Wbcosgy-Xa1xXUArJSOenub6EfZHUSzc_bpJFWwQUf0/edit?usp=share_link"",""แม่ฮ่องสอน!I647"")+IMPORTRANGE(""https://docs.google.com/spreadsheets/d/1p7ERhsr0qZeSn-KSOdeHS9r0heI-lHtkcn2OH7hP0jQ/edit?usp=share_link"",""ลำปาง!"&amp;"I647"")+IMPORTRANGE(""https://docs.google.com/spreadsheets/d/1-uUXvimVhiU2U0bMN-xi2te0tS4X7DI2GLPnMjzl8cA/edit?usp=share_link"",""ลำพูน!I647"")+IMPORTRANGE(""https://docs.google.com/spreadsheets/d/17HrOaa5pBUI1onckFfumXB8xlg35qb2uBAFfF1D-Myo/edit?usp=shar"&amp;"e_link"",""สุโขทัย!I647"")+IMPORTRANGE(""https://docs.google.com/spreadsheets/d/1ubs5cl16eYL9gHbdHTJtmtYb9MGzHBs7CAphn8kNCgM/edit?usp=share_link"",""อุตรดิตถ์!I647"")+IMPORTRANGE(""https://docs.google.com/spreadsheets/d/1kII0BjS6CtVrBvI8IrytgPdxDrlyQDyigz"&amp;"MsohRtDMs/edit?usp=share_link"",""อุทัยธานี!I647"")
"),2481)</f>
        <v>2481</v>
      </c>
      <c r="J647" s="37">
        <f ca="1">IFERROR(__xludf.DUMMYFUNCTION("IMPORTRANGE(""https://docs.google.com/spreadsheets/d/1KxicF4apzSqm0-jIpmueT4kyZtE-Cwn5zskl7GD4loQ/edit?usp=share_link"",""กำแพงเพชร!J647"")+IMPORTRANGE(""https://docs.google.com/spreadsheets/d/1ZNYWeiFoFA1K1U4xKWqRX29MBvEyRHXORjo734Gnq_c/edit?usp=share_li"&amp;"nk"",""เชียงราย!J647"")
+IMPORTRANGE(""https://docs.google.com/spreadsheets/d/1Jgv0Y7YlHDtsiDawwp-uvifEJ8HVaSn0k2aGHG8-hwM/edit?usp=share_link"",""เชียงใหม่!J647"")+IMPORTRANGE(""https://docs.google.com/spreadsheets/d/1JWG2rZePOz9pe-f-ObA-yDr0VoOX2kSb0qIi"&amp;"x2mTUo8/edit?usp=share_link"",""ตาก!J647"")+IMPORTRANGE(""https://docs.google.com/spreadsheets/d/10nSRjK08hx8Y6HgSOQKNw81lyY46Zc7U_Cj72hBMp9U/edit?usp=share_link"",""นครสวรรค์!J647"")+IMPORTRANGE(""https://docs.google.com/spreadsheets/d/1gFVb7qd7amutrIxAA"&amp;"oM7lcy35hllxznovot8lyOfvDo/edit?usp=share_link"",""น่าน!J647"")+IMPORTRANGE(""https://docs.google.com/spreadsheets/d/1K0Aa9s-6EuHE5M0FG1F9aHLXRCOV917xvycTdLdct0w/edit?usp=share_link"",""พะเยา!J647"")+IMPORTRANGE(""https://docs.google.com/spreadsheets/d/1Y"&amp;"9LPKx95PyL5OKy09d-KbKJSuuEZCFdkhYjwC0XQjBA/edit?usp=share_link"",""พิจิตร!J647"")+IMPORTRANGE(""https://docs.google.com/spreadsheets/d/16OMuOwy2eVqZcYWOouQtTpa8X1L23h4660uVHc0C8os/edit?usp=share_link"",""พิษณุโลก!J647"")+IMPORTRANGE(""https://docs.google."&amp;"com/spreadsheets/d/1GfgTldLG6k77HXaMQzaafODklYuucJZQNs_GAPEfZyY/edit?usp=share_link"",""เพชรบูรณ์!J647"")+IMPORTRANGE(""https://docs.google.com/spreadsheets/d/1gvTMYAnm7v1yG1BKWFtr0DnaTsq59oW9dwWvFgq6hs0/edit?usp=share_link"",""แพร่!J647"")+IMPORTRANGE("""&amp;"https://docs.google.com/spreadsheets/d/1Wbcosgy-Xa1xXUArJSOenub6EfZHUSzc_bpJFWwQUf0/edit?usp=share_link"",""แม่ฮ่องสอน!J647"")+IMPORTRANGE(""https://docs.google.com/spreadsheets/d/1p7ERhsr0qZeSn-KSOdeHS9r0heI-lHtkcn2OH7hP0jQ/edit?usp=share_link"",""ลำปาง!"&amp;"J647"")+IMPORTRANGE(""https://docs.google.com/spreadsheets/d/1-uUXvimVhiU2U0bMN-xi2te0tS4X7DI2GLPnMjzl8cA/edit?usp=share_link"",""ลำพูน!J647"")+IMPORTRANGE(""https://docs.google.com/spreadsheets/d/17HrOaa5pBUI1onckFfumXB8xlg35qb2uBAFfF1D-Myo/edit?usp=shar"&amp;"e_link"",""สุโขทัย!J647"")+IMPORTRANGE(""https://docs.google.com/spreadsheets/d/1ubs5cl16eYL9gHbdHTJtmtYb9MGzHBs7CAphn8kNCgM/edit?usp=share_link"",""อุตรดิตถ์!J647"")+IMPORTRANGE(""https://docs.google.com/spreadsheets/d/1kII0BjS6CtVrBvI8IrytgPdxDrlyQDyigz"&amp;"MsohRtDMs/edit?usp=share_link"",""อุทัยธานี!J647"")
"),469)</f>
        <v>469</v>
      </c>
      <c r="K647" s="163">
        <f t="shared" ca="1" si="310"/>
        <v>18.90366787585651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11"/>
      <c r="B648" s="539"/>
      <c r="C648" s="540"/>
      <c r="D648" s="586"/>
      <c r="E648" s="586"/>
      <c r="F648" s="586"/>
      <c r="G648" s="175"/>
      <c r="H648" s="182" t="s">
        <v>46</v>
      </c>
      <c r="I648" s="270">
        <v>0</v>
      </c>
      <c r="J648" s="37">
        <f ca="1">IFERROR(__xludf.DUMMYFUNCTION("IMPORTRANGE(""https://docs.google.com/spreadsheets/d/1KxicF4apzSqm0-jIpmueT4kyZtE-Cwn5zskl7GD4loQ/edit?usp=share_link"",""กำแพงเพชร!J648"")+IMPORTRANGE(""https://docs.google.com/spreadsheets/d/1ZNYWeiFoFA1K1U4xKWqRX29MBvEyRHXORjo734Gnq_c/edit?usp=share_li"&amp;"nk"",""เชียงราย!J648"")
+IMPORTRANGE(""https://docs.google.com/spreadsheets/d/1Jgv0Y7YlHDtsiDawwp-uvifEJ8HVaSn0k2aGHG8-hwM/edit?usp=share_link"",""เชียงใหม่!J648"")+IMPORTRANGE(""https://docs.google.com/spreadsheets/d/1JWG2rZePOz9pe-f-ObA-yDr0VoOX2kSb0qIi"&amp;"x2mTUo8/edit?usp=share_link"",""ตาก!J648"")+IMPORTRANGE(""https://docs.google.com/spreadsheets/d/10nSRjK08hx8Y6HgSOQKNw81lyY46Zc7U_Cj72hBMp9U/edit?usp=share_link"",""นครสวรรค์!J648"")+IMPORTRANGE(""https://docs.google.com/spreadsheets/d/1gFVb7qd7amutrIxAA"&amp;"oM7lcy35hllxznovot8lyOfvDo/edit?usp=share_link"",""น่าน!J648"")+IMPORTRANGE(""https://docs.google.com/spreadsheets/d/1K0Aa9s-6EuHE5M0FG1F9aHLXRCOV917xvycTdLdct0w/edit?usp=share_link"",""พะเยา!J648"")+IMPORTRANGE(""https://docs.google.com/spreadsheets/d/1Y"&amp;"9LPKx95PyL5OKy09d-KbKJSuuEZCFdkhYjwC0XQjBA/edit?usp=share_link"",""พิจิตร!J648"")+IMPORTRANGE(""https://docs.google.com/spreadsheets/d/16OMuOwy2eVqZcYWOouQtTpa8X1L23h4660uVHc0C8os/edit?usp=share_link"",""พิษณุโลก!J648"")+IMPORTRANGE(""https://docs.google."&amp;"com/spreadsheets/d/1GfgTldLG6k77HXaMQzaafODklYuucJZQNs_GAPEfZyY/edit?usp=share_link"",""เพชรบูรณ์!J648"")+IMPORTRANGE(""https://docs.google.com/spreadsheets/d/1gvTMYAnm7v1yG1BKWFtr0DnaTsq59oW9dwWvFgq6hs0/edit?usp=share_link"",""แพร่!J648"")+IMPORTRANGE("""&amp;"https://docs.google.com/spreadsheets/d/1Wbcosgy-Xa1xXUArJSOenub6EfZHUSzc_bpJFWwQUf0/edit?usp=share_link"",""แม่ฮ่องสอน!J648"")+IMPORTRANGE(""https://docs.google.com/spreadsheets/d/1p7ERhsr0qZeSn-KSOdeHS9r0heI-lHtkcn2OH7hP0jQ/edit?usp=share_link"",""ลำปาง!"&amp;"J648"")+IMPORTRANGE(""https://docs.google.com/spreadsheets/d/1-uUXvimVhiU2U0bMN-xi2te0tS4X7DI2GLPnMjzl8cA/edit?usp=share_link"",""ลำพูน!J648"")+IMPORTRANGE(""https://docs.google.com/spreadsheets/d/17HrOaa5pBUI1onckFfumXB8xlg35qb2uBAFfF1D-Myo/edit?usp=shar"&amp;"e_link"",""สุโขทัย!J648"")+IMPORTRANGE(""https://docs.google.com/spreadsheets/d/1ubs5cl16eYL9gHbdHTJtmtYb9MGzHBs7CAphn8kNCgM/edit?usp=share_link"",""อุตรดิตถ์!J648"")+IMPORTRANGE(""https://docs.google.com/spreadsheets/d/1kII0BjS6CtVrBvI8IrytgPdxDrlyQDyigz"&amp;"MsohRtDMs/edit?usp=share_link"",""อุทัยธานี!J648"")
"),312.71)</f>
        <v>312.70999999999998</v>
      </c>
      <c r="K648" s="38">
        <f t="shared" si="310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11"/>
      <c r="B649" s="539"/>
      <c r="C649" s="540"/>
      <c r="D649" s="586"/>
      <c r="E649" s="263" t="s">
        <v>276</v>
      </c>
      <c r="F649" s="586"/>
      <c r="G649" s="175"/>
      <c r="H649" s="182" t="s">
        <v>35</v>
      </c>
      <c r="I649" s="37">
        <f ca="1">IFERROR(__xludf.DUMMYFUNCTION("IMPORTRANGE(""https://docs.google.com/spreadsheets/d/1KxicF4apzSqm0-jIpmueT4kyZtE-Cwn5zskl7GD4loQ/edit?usp=share_link"",""กำแพงเพชร!I649"")+IMPORTRANGE(""https://docs.google.com/spreadsheets/d/1ZNYWeiFoFA1K1U4xKWqRX29MBvEyRHXORjo734Gnq_c/edit?usp=share_li"&amp;"nk"",""เชียงราย!I649"")
+IMPORTRANGE(""https://docs.google.com/spreadsheets/d/1Jgv0Y7YlHDtsiDawwp-uvifEJ8HVaSn0k2aGHG8-hwM/edit?usp=share_link"",""เชียงใหม่!I649"")+IMPORTRANGE(""https://docs.google.com/spreadsheets/d/1JWG2rZePOz9pe-f-ObA-yDr0VoOX2kSb0qIi"&amp;"x2mTUo8/edit?usp=share_link"",""ตาก!I649"")+IMPORTRANGE(""https://docs.google.com/spreadsheets/d/10nSRjK08hx8Y6HgSOQKNw81lyY46Zc7U_Cj72hBMp9U/edit?usp=share_link"",""นครสวรรค์!I649"")+IMPORTRANGE(""https://docs.google.com/spreadsheets/d/1gFVb7qd7amutrIxAA"&amp;"oM7lcy35hllxznovot8lyOfvDo/edit?usp=share_link"",""น่าน!I649"")+IMPORTRANGE(""https://docs.google.com/spreadsheets/d/1K0Aa9s-6EuHE5M0FG1F9aHLXRCOV917xvycTdLdct0w/edit?usp=share_link"",""พะเยา!I649"")+IMPORTRANGE(""https://docs.google.com/spreadsheets/d/1Y"&amp;"9LPKx95PyL5OKy09d-KbKJSuuEZCFdkhYjwC0XQjBA/edit?usp=share_link"",""พิจิตร!I649"")+IMPORTRANGE(""https://docs.google.com/spreadsheets/d/16OMuOwy2eVqZcYWOouQtTpa8X1L23h4660uVHc0C8os/edit?usp=share_link"",""พิษณุโลก!I649"")+IMPORTRANGE(""https://docs.google."&amp;"com/spreadsheets/d/1GfgTldLG6k77HXaMQzaafODklYuucJZQNs_GAPEfZyY/edit?usp=share_link"",""เพชรบูรณ์!I649"")+IMPORTRANGE(""https://docs.google.com/spreadsheets/d/1gvTMYAnm7v1yG1BKWFtr0DnaTsq59oW9dwWvFgq6hs0/edit?usp=share_link"",""แพร่!I649"")+IMPORTRANGE("""&amp;"https://docs.google.com/spreadsheets/d/1Wbcosgy-Xa1xXUArJSOenub6EfZHUSzc_bpJFWwQUf0/edit?usp=share_link"",""แม่ฮ่องสอน!I649"")+IMPORTRANGE(""https://docs.google.com/spreadsheets/d/1p7ERhsr0qZeSn-KSOdeHS9r0heI-lHtkcn2OH7hP0jQ/edit?usp=share_link"",""ลำปาง!"&amp;"I649"")+IMPORTRANGE(""https://docs.google.com/spreadsheets/d/1-uUXvimVhiU2U0bMN-xi2te0tS4X7DI2GLPnMjzl8cA/edit?usp=share_link"",""ลำพูน!I649"")+IMPORTRANGE(""https://docs.google.com/spreadsheets/d/17HrOaa5pBUI1onckFfumXB8xlg35qb2uBAFfF1D-Myo/edit?usp=shar"&amp;"e_link"",""สุโขทัย!I649"")+IMPORTRANGE(""https://docs.google.com/spreadsheets/d/1ubs5cl16eYL9gHbdHTJtmtYb9MGzHBs7CAphn8kNCgM/edit?usp=share_link"",""อุตรดิตถ์!I649"")+IMPORTRANGE(""https://docs.google.com/spreadsheets/d/1kII0BjS6CtVrBvI8IrytgPdxDrlyQDyigz"&amp;"MsohRtDMs/edit?usp=share_link"",""อุทัยธานี!I649"")
"),2481)</f>
        <v>2481</v>
      </c>
      <c r="J649" s="37">
        <f ca="1">IFERROR(__xludf.DUMMYFUNCTION("IMPORTRANGE(""https://docs.google.com/spreadsheets/d/1KxicF4apzSqm0-jIpmueT4kyZtE-Cwn5zskl7GD4loQ/edit?usp=share_link"",""กำแพงเพชร!J649"")+IMPORTRANGE(""https://docs.google.com/spreadsheets/d/1ZNYWeiFoFA1K1U4xKWqRX29MBvEyRHXORjo734Gnq_c/edit?usp=share_li"&amp;"nk"",""เชียงราย!J649"")
+IMPORTRANGE(""https://docs.google.com/spreadsheets/d/1Jgv0Y7YlHDtsiDawwp-uvifEJ8HVaSn0k2aGHG8-hwM/edit?usp=share_link"",""เชียงใหม่!J649"")+IMPORTRANGE(""https://docs.google.com/spreadsheets/d/1JWG2rZePOz9pe-f-ObA-yDr0VoOX2kSb0qIi"&amp;"x2mTUo8/edit?usp=share_link"",""ตาก!J649"")+IMPORTRANGE(""https://docs.google.com/spreadsheets/d/10nSRjK08hx8Y6HgSOQKNw81lyY46Zc7U_Cj72hBMp9U/edit?usp=share_link"",""นครสวรรค์!J649"")+IMPORTRANGE(""https://docs.google.com/spreadsheets/d/1gFVb7qd7amutrIxAA"&amp;"oM7lcy35hllxznovot8lyOfvDo/edit?usp=share_link"",""น่าน!J649"")+IMPORTRANGE(""https://docs.google.com/spreadsheets/d/1K0Aa9s-6EuHE5M0FG1F9aHLXRCOV917xvycTdLdct0w/edit?usp=share_link"",""พะเยา!J649"")+IMPORTRANGE(""https://docs.google.com/spreadsheets/d/1Y"&amp;"9LPKx95PyL5OKy09d-KbKJSuuEZCFdkhYjwC0XQjBA/edit?usp=share_link"",""พิจิตร!J649"")+IMPORTRANGE(""https://docs.google.com/spreadsheets/d/16OMuOwy2eVqZcYWOouQtTpa8X1L23h4660uVHc0C8os/edit?usp=share_link"",""พิษณุโลก!J649"")+IMPORTRANGE(""https://docs.google."&amp;"com/spreadsheets/d/1GfgTldLG6k77HXaMQzaafODklYuucJZQNs_GAPEfZyY/edit?usp=share_link"",""เพชรบูรณ์!J649"")+IMPORTRANGE(""https://docs.google.com/spreadsheets/d/1gvTMYAnm7v1yG1BKWFtr0DnaTsq59oW9dwWvFgq6hs0/edit?usp=share_link"",""แพร่!J649"")+IMPORTRANGE("""&amp;"https://docs.google.com/spreadsheets/d/1Wbcosgy-Xa1xXUArJSOenub6EfZHUSzc_bpJFWwQUf0/edit?usp=share_link"",""แม่ฮ่องสอน!J649"")+IMPORTRANGE(""https://docs.google.com/spreadsheets/d/1p7ERhsr0qZeSn-KSOdeHS9r0heI-lHtkcn2OH7hP0jQ/edit?usp=share_link"",""ลำปาง!"&amp;"J649"")+IMPORTRANGE(""https://docs.google.com/spreadsheets/d/1-uUXvimVhiU2U0bMN-xi2te0tS4X7DI2GLPnMjzl8cA/edit?usp=share_link"",""ลำพูน!J649"")+IMPORTRANGE(""https://docs.google.com/spreadsheets/d/17HrOaa5pBUI1onckFfumXB8xlg35qb2uBAFfF1D-Myo/edit?usp=shar"&amp;"e_link"",""สุโขทัย!J649"")+IMPORTRANGE(""https://docs.google.com/spreadsheets/d/1ubs5cl16eYL9gHbdHTJtmtYb9MGzHBs7CAphn8kNCgM/edit?usp=share_link"",""อุตรดิตถ์!J649"")+IMPORTRANGE(""https://docs.google.com/spreadsheets/d/1kII0BjS6CtVrBvI8IrytgPdxDrlyQDyigz"&amp;"MsohRtDMs/edit?usp=share_link"",""อุทัยธานี!J649"")
"),287)</f>
        <v>287</v>
      </c>
      <c r="K649" s="163">
        <f t="shared" ca="1" si="310"/>
        <v>11.567916162837566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11"/>
      <c r="B650" s="539"/>
      <c r="C650" s="540"/>
      <c r="D650" s="586"/>
      <c r="E650" s="586"/>
      <c r="F650" s="586"/>
      <c r="G650" s="175"/>
      <c r="H650" s="182" t="s">
        <v>46</v>
      </c>
      <c r="I650" s="270">
        <v>0</v>
      </c>
      <c r="J650" s="37">
        <f ca="1">IFERROR(__xludf.DUMMYFUNCTION("IMPORTRANGE(""https://docs.google.com/spreadsheets/d/1KxicF4apzSqm0-jIpmueT4kyZtE-Cwn5zskl7GD4loQ/edit?usp=share_link"",""กำแพงเพชร!J650"")+IMPORTRANGE(""https://docs.google.com/spreadsheets/d/1ZNYWeiFoFA1K1U4xKWqRX29MBvEyRHXORjo734Gnq_c/edit?usp=share_li"&amp;"nk"",""เชียงราย!J650"")
+IMPORTRANGE(""https://docs.google.com/spreadsheets/d/1Jgv0Y7YlHDtsiDawwp-uvifEJ8HVaSn0k2aGHG8-hwM/edit?usp=share_link"",""เชียงใหม่!J650"")+IMPORTRANGE(""https://docs.google.com/spreadsheets/d/1JWG2rZePOz9pe-f-ObA-yDr0VoOX2kSb0qIi"&amp;"x2mTUo8/edit?usp=share_link"",""ตาก!J650"")+IMPORTRANGE(""https://docs.google.com/spreadsheets/d/10nSRjK08hx8Y6HgSOQKNw81lyY46Zc7U_Cj72hBMp9U/edit?usp=share_link"",""นครสวรรค์!J650"")+IMPORTRANGE(""https://docs.google.com/spreadsheets/d/1gFVb7qd7amutrIxAA"&amp;"oM7lcy35hllxznovot8lyOfvDo/edit?usp=share_link"",""น่าน!J650"")+IMPORTRANGE(""https://docs.google.com/spreadsheets/d/1K0Aa9s-6EuHE5M0FG1F9aHLXRCOV917xvycTdLdct0w/edit?usp=share_link"",""พะเยา!J650"")+IMPORTRANGE(""https://docs.google.com/spreadsheets/d/1Y"&amp;"9LPKx95PyL5OKy09d-KbKJSuuEZCFdkhYjwC0XQjBA/edit?usp=share_link"",""พิจิตร!J650"")+IMPORTRANGE(""https://docs.google.com/spreadsheets/d/16OMuOwy2eVqZcYWOouQtTpa8X1L23h4660uVHc0C8os/edit?usp=share_link"",""พิษณุโลก!J650"")+IMPORTRANGE(""https://docs.google."&amp;"com/spreadsheets/d/1GfgTldLG6k77HXaMQzaafODklYuucJZQNs_GAPEfZyY/edit?usp=share_link"",""เพชรบูรณ์!J650"")+IMPORTRANGE(""https://docs.google.com/spreadsheets/d/1gvTMYAnm7v1yG1BKWFtr0DnaTsq59oW9dwWvFgq6hs0/edit?usp=share_link"",""แพร่!J650"")+IMPORTRANGE("""&amp;"https://docs.google.com/spreadsheets/d/1Wbcosgy-Xa1xXUArJSOenub6EfZHUSzc_bpJFWwQUf0/edit?usp=share_link"",""แม่ฮ่องสอน!J650"")+IMPORTRANGE(""https://docs.google.com/spreadsheets/d/1p7ERhsr0qZeSn-KSOdeHS9r0heI-lHtkcn2OH7hP0jQ/edit?usp=share_link"",""ลำปาง!"&amp;"J650"")+IMPORTRANGE(""https://docs.google.com/spreadsheets/d/1-uUXvimVhiU2U0bMN-xi2te0tS4X7DI2GLPnMjzl8cA/edit?usp=share_link"",""ลำพูน!J650"")+IMPORTRANGE(""https://docs.google.com/spreadsheets/d/17HrOaa5pBUI1onckFfumXB8xlg35qb2uBAFfF1D-Myo/edit?usp=shar"&amp;"e_link"",""สุโขทัย!J650"")+IMPORTRANGE(""https://docs.google.com/spreadsheets/d/1ubs5cl16eYL9gHbdHTJtmtYb9MGzHBs7CAphn8kNCgM/edit?usp=share_link"",""อุตรดิตถ์!J650"")+IMPORTRANGE(""https://docs.google.com/spreadsheets/d/1kII0BjS6CtVrBvI8IrytgPdxDrlyQDyigz"&amp;"MsohRtDMs/edit?usp=share_link"",""อุทัยธานี!J650"")
"),170.84)</f>
        <v>170.84</v>
      </c>
      <c r="K650" s="38">
        <f t="shared" si="310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11"/>
      <c r="B651" s="539"/>
      <c r="C651" s="540"/>
      <c r="D651" s="586"/>
      <c r="E651" s="263" t="s">
        <v>277</v>
      </c>
      <c r="F651" s="586"/>
      <c r="G651" s="175"/>
      <c r="H651" s="182" t="s">
        <v>35</v>
      </c>
      <c r="I651" s="37">
        <f ca="1">IFERROR(__xludf.DUMMYFUNCTION("IMPORTRANGE(""https://docs.google.com/spreadsheets/d/1KxicF4apzSqm0-jIpmueT4kyZtE-Cwn5zskl7GD4loQ/edit?usp=share_link"",""กำแพงเพชร!I651"")+IMPORTRANGE(""https://docs.google.com/spreadsheets/d/1ZNYWeiFoFA1K1U4xKWqRX29MBvEyRHXORjo734Gnq_c/edit?usp=share_li"&amp;"nk"",""เชียงราย!I651"")
+IMPORTRANGE(""https://docs.google.com/spreadsheets/d/1Jgv0Y7YlHDtsiDawwp-uvifEJ8HVaSn0k2aGHG8-hwM/edit?usp=share_link"",""เชียงใหม่!I651"")+IMPORTRANGE(""https://docs.google.com/spreadsheets/d/1JWG2rZePOz9pe-f-ObA-yDr0VoOX2kSb0qIi"&amp;"x2mTUo8/edit?usp=share_link"",""ตาก!I651"")+IMPORTRANGE(""https://docs.google.com/spreadsheets/d/10nSRjK08hx8Y6HgSOQKNw81lyY46Zc7U_Cj72hBMp9U/edit?usp=share_link"",""นครสวรรค์!I651"")+IMPORTRANGE(""https://docs.google.com/spreadsheets/d/1gFVb7qd7amutrIxAA"&amp;"oM7lcy35hllxznovot8lyOfvDo/edit?usp=share_link"",""น่าน!I651"")+IMPORTRANGE(""https://docs.google.com/spreadsheets/d/1K0Aa9s-6EuHE5M0FG1F9aHLXRCOV917xvycTdLdct0w/edit?usp=share_link"",""พะเยา!I651"")+IMPORTRANGE(""https://docs.google.com/spreadsheets/d/1Y"&amp;"9LPKx95PyL5OKy09d-KbKJSuuEZCFdkhYjwC0XQjBA/edit?usp=share_link"",""พิจิตร!I651"")+IMPORTRANGE(""https://docs.google.com/spreadsheets/d/16OMuOwy2eVqZcYWOouQtTpa8X1L23h4660uVHc0C8os/edit?usp=share_link"",""พิษณุโลก!I651"")+IMPORTRANGE(""https://docs.google."&amp;"com/spreadsheets/d/1GfgTldLG6k77HXaMQzaafODklYuucJZQNs_GAPEfZyY/edit?usp=share_link"",""เพชรบูรณ์!I651"")+IMPORTRANGE(""https://docs.google.com/spreadsheets/d/1gvTMYAnm7v1yG1BKWFtr0DnaTsq59oW9dwWvFgq6hs0/edit?usp=share_link"",""แพร่!I651"")+IMPORTRANGE("""&amp;"https://docs.google.com/spreadsheets/d/1Wbcosgy-Xa1xXUArJSOenub6EfZHUSzc_bpJFWwQUf0/edit?usp=share_link"",""แม่ฮ่องสอน!I651"")+IMPORTRANGE(""https://docs.google.com/spreadsheets/d/1p7ERhsr0qZeSn-KSOdeHS9r0heI-lHtkcn2OH7hP0jQ/edit?usp=share_link"",""ลำปาง!"&amp;"I651"")+IMPORTRANGE(""https://docs.google.com/spreadsheets/d/1-uUXvimVhiU2U0bMN-xi2te0tS4X7DI2GLPnMjzl8cA/edit?usp=share_link"",""ลำพูน!I651"")+IMPORTRANGE(""https://docs.google.com/spreadsheets/d/17HrOaa5pBUI1onckFfumXB8xlg35qb2uBAFfF1D-Myo/edit?usp=shar"&amp;"e_link"",""สุโขทัย!I651"")+IMPORTRANGE(""https://docs.google.com/spreadsheets/d/1ubs5cl16eYL9gHbdHTJtmtYb9MGzHBs7CAphn8kNCgM/edit?usp=share_link"",""อุตรดิตถ์!I651"")+IMPORTRANGE(""https://docs.google.com/spreadsheets/d/1kII0BjS6CtVrBvI8IrytgPdxDrlyQDyigz"&amp;"MsohRtDMs/edit?usp=share_link"",""อุทัยธานี!I651"")
"),2481)</f>
        <v>2481</v>
      </c>
      <c r="J651" s="37">
        <f ca="1">IFERROR(__xludf.DUMMYFUNCTION("IMPORTRANGE(""https://docs.google.com/spreadsheets/d/1KxicF4apzSqm0-jIpmueT4kyZtE-Cwn5zskl7GD4loQ/edit?usp=share_link"",""กำแพงเพชร!J651"")+IMPORTRANGE(""https://docs.google.com/spreadsheets/d/1ZNYWeiFoFA1K1U4xKWqRX29MBvEyRHXORjo734Gnq_c/edit?usp=share_li"&amp;"nk"",""เชียงราย!J651"")
+IMPORTRANGE(""https://docs.google.com/spreadsheets/d/1Jgv0Y7YlHDtsiDawwp-uvifEJ8HVaSn0k2aGHG8-hwM/edit?usp=share_link"",""เชียงใหม่!J651"")+IMPORTRANGE(""https://docs.google.com/spreadsheets/d/1JWG2rZePOz9pe-f-ObA-yDr0VoOX2kSb0qIi"&amp;"x2mTUo8/edit?usp=share_link"",""ตาก!J651"")+IMPORTRANGE(""https://docs.google.com/spreadsheets/d/10nSRjK08hx8Y6HgSOQKNw81lyY46Zc7U_Cj72hBMp9U/edit?usp=share_link"",""นครสวรรค์!J651"")+IMPORTRANGE(""https://docs.google.com/spreadsheets/d/1gFVb7qd7amutrIxAA"&amp;"oM7lcy35hllxznovot8lyOfvDo/edit?usp=share_link"",""น่าน!J651"")+IMPORTRANGE(""https://docs.google.com/spreadsheets/d/1K0Aa9s-6EuHE5M0FG1F9aHLXRCOV917xvycTdLdct0w/edit?usp=share_link"",""พะเยา!J651"")+IMPORTRANGE(""https://docs.google.com/spreadsheets/d/1Y"&amp;"9LPKx95PyL5OKy09d-KbKJSuuEZCFdkhYjwC0XQjBA/edit?usp=share_link"",""พิจิตร!J651"")+IMPORTRANGE(""https://docs.google.com/spreadsheets/d/16OMuOwy2eVqZcYWOouQtTpa8X1L23h4660uVHc0C8os/edit?usp=share_link"",""พิษณุโลก!J651"")+IMPORTRANGE(""https://docs.google."&amp;"com/spreadsheets/d/1GfgTldLG6k77HXaMQzaafODklYuucJZQNs_GAPEfZyY/edit?usp=share_link"",""เพชรบูรณ์!J651"")+IMPORTRANGE(""https://docs.google.com/spreadsheets/d/1gvTMYAnm7v1yG1BKWFtr0DnaTsq59oW9dwWvFgq6hs0/edit?usp=share_link"",""แพร่!J651"")+IMPORTRANGE("""&amp;"https://docs.google.com/spreadsheets/d/1Wbcosgy-Xa1xXUArJSOenub6EfZHUSzc_bpJFWwQUf0/edit?usp=share_link"",""แม่ฮ่องสอน!J651"")+IMPORTRANGE(""https://docs.google.com/spreadsheets/d/1p7ERhsr0qZeSn-KSOdeHS9r0heI-lHtkcn2OH7hP0jQ/edit?usp=share_link"",""ลำปาง!"&amp;"J651"")+IMPORTRANGE(""https://docs.google.com/spreadsheets/d/1-uUXvimVhiU2U0bMN-xi2te0tS4X7DI2GLPnMjzl8cA/edit?usp=share_link"",""ลำพูน!J651"")+IMPORTRANGE(""https://docs.google.com/spreadsheets/d/17HrOaa5pBUI1onckFfumXB8xlg35qb2uBAFfF1D-Myo/edit?usp=shar"&amp;"e_link"",""สุโขทัย!J651"")+IMPORTRANGE(""https://docs.google.com/spreadsheets/d/1ubs5cl16eYL9gHbdHTJtmtYb9MGzHBs7CAphn8kNCgM/edit?usp=share_link"",""อุตรดิตถ์!J651"")+IMPORTRANGE(""https://docs.google.com/spreadsheets/d/1kII0BjS6CtVrBvI8IrytgPdxDrlyQDyigz"&amp;"MsohRtDMs/edit?usp=share_link"",""อุทัยธานี!J651"")
"),202)</f>
        <v>202</v>
      </c>
      <c r="K651" s="163">
        <f t="shared" ca="1" si="310"/>
        <v>8.1418782748891569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352">
        <v>0</v>
      </c>
      <c r="J652" s="469">
        <f ca="1">IFERROR(__xludf.DUMMYFUNCTION("IMPORTRANGE(""https://docs.google.com/spreadsheets/d/1KxicF4apzSqm0-jIpmueT4kyZtE-Cwn5zskl7GD4loQ/edit?usp=share_link"",""กำแพงเพชร!J652"")+IMPORTRANGE(""https://docs.google.com/spreadsheets/d/1ZNYWeiFoFA1K1U4xKWqRX29MBvEyRHXORjo734Gnq_c/edit?usp=share_li"&amp;"nk"",""เชียงราย!J652"")
+IMPORTRANGE(""https://docs.google.com/spreadsheets/d/1Jgv0Y7YlHDtsiDawwp-uvifEJ8HVaSn0k2aGHG8-hwM/edit?usp=share_link"",""เชียงใหม่!J652"")+IMPORTRANGE(""https://docs.google.com/spreadsheets/d/1JWG2rZePOz9pe-f-ObA-yDr0VoOX2kSb0qIi"&amp;"x2mTUo8/edit?usp=share_link"",""ตาก!J652"")+IMPORTRANGE(""https://docs.google.com/spreadsheets/d/10nSRjK08hx8Y6HgSOQKNw81lyY46Zc7U_Cj72hBMp9U/edit?usp=share_link"",""นครสวรรค์!J652"")+IMPORTRANGE(""https://docs.google.com/spreadsheets/d/1gFVb7qd7amutrIxAA"&amp;"oM7lcy35hllxznovot8lyOfvDo/edit?usp=share_link"",""น่าน!J652"")+IMPORTRANGE(""https://docs.google.com/spreadsheets/d/1K0Aa9s-6EuHE5M0FG1F9aHLXRCOV917xvycTdLdct0w/edit?usp=share_link"",""พะเยา!J652"")+IMPORTRANGE(""https://docs.google.com/spreadsheets/d/1Y"&amp;"9LPKx95PyL5OKy09d-KbKJSuuEZCFdkhYjwC0XQjBA/edit?usp=share_link"",""พิจิตร!J652"")+IMPORTRANGE(""https://docs.google.com/spreadsheets/d/16OMuOwy2eVqZcYWOouQtTpa8X1L23h4660uVHc0C8os/edit?usp=share_link"",""พิษณุโลก!J652"")+IMPORTRANGE(""https://docs.google."&amp;"com/spreadsheets/d/1GfgTldLG6k77HXaMQzaafODklYuucJZQNs_GAPEfZyY/edit?usp=share_link"",""เพชรบูรณ์!J652"")+IMPORTRANGE(""https://docs.google.com/spreadsheets/d/1gvTMYAnm7v1yG1BKWFtr0DnaTsq59oW9dwWvFgq6hs0/edit?usp=share_link"",""แพร่!J652"")+IMPORTRANGE("""&amp;"https://docs.google.com/spreadsheets/d/1Wbcosgy-Xa1xXUArJSOenub6EfZHUSzc_bpJFWwQUf0/edit?usp=share_link"",""แม่ฮ่องสอน!J652"")+IMPORTRANGE(""https://docs.google.com/spreadsheets/d/1p7ERhsr0qZeSn-KSOdeHS9r0heI-lHtkcn2OH7hP0jQ/edit?usp=share_link"",""ลำปาง!"&amp;"J652"")+IMPORTRANGE(""https://docs.google.com/spreadsheets/d/1-uUXvimVhiU2U0bMN-xi2te0tS4X7DI2GLPnMjzl8cA/edit?usp=share_link"",""ลำพูน!J652"")+IMPORTRANGE(""https://docs.google.com/spreadsheets/d/17HrOaa5pBUI1onckFfumXB8xlg35qb2uBAFfF1D-Myo/edit?usp=shar"&amp;"e_link"",""สุโขทัย!J652"")+IMPORTRANGE(""https://docs.google.com/spreadsheets/d/1ubs5cl16eYL9gHbdHTJtmtYb9MGzHBs7CAphn8kNCgM/edit?usp=share_link"",""อุตรดิตถ์!J652"")+IMPORTRANGE(""https://docs.google.com/spreadsheets/d/1kII0BjS6CtVrBvI8IrytgPdxDrlyQDyigz"&amp;"MsohRtDMs/edit?usp=share_link"",""อุทัยธานี!J652"")
"),95.25)</f>
        <v>95.25</v>
      </c>
      <c r="K652" s="470">
        <f t="shared" si="310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43">
        <f t="shared" ref="I654:J654" ca="1" si="311">I669</f>
        <v>1100</v>
      </c>
      <c r="J654" s="643">
        <f t="shared" ca="1" si="311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540"/>
      <c r="C655" s="540" t="s">
        <v>16</v>
      </c>
      <c r="D655" s="929" t="s">
        <v>17</v>
      </c>
      <c r="E655" s="923"/>
      <c r="F655" s="923"/>
      <c r="G655" s="189"/>
      <c r="H655" s="563" t="s">
        <v>12</v>
      </c>
      <c r="I655" s="37"/>
      <c r="J655" s="37"/>
      <c r="K655" s="38"/>
      <c r="L655" s="195">
        <f t="shared" ref="L655:N655" ca="1" si="312">L656+L657</f>
        <v>139600</v>
      </c>
      <c r="M655" s="195">
        <f t="shared" si="312"/>
        <v>0</v>
      </c>
      <c r="N655" s="195">
        <f t="shared" ca="1" si="312"/>
        <v>28535</v>
      </c>
      <c r="O655" s="195">
        <f t="shared" ref="O655:O660" ca="1" si="313">IF(L655&gt;0,N655*100/L655,0)</f>
        <v>20.440544412607451</v>
      </c>
      <c r="P655" s="195">
        <f t="shared" ref="P655:P660" si="314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565"/>
      <c r="C656" s="565"/>
      <c r="D656" s="566"/>
      <c r="E656" s="567" t="s">
        <v>184</v>
      </c>
      <c r="F656" s="565"/>
      <c r="G656" s="568"/>
      <c r="H656" s="165" t="s">
        <v>12</v>
      </c>
      <c r="I656" s="44"/>
      <c r="J656" s="44"/>
      <c r="K656" s="45"/>
      <c r="L656" s="45">
        <f t="shared" ref="L656:N656" si="315">L659+L666</f>
        <v>0</v>
      </c>
      <c r="M656" s="45">
        <f t="shared" si="315"/>
        <v>0</v>
      </c>
      <c r="N656" s="45">
        <f t="shared" si="315"/>
        <v>0</v>
      </c>
      <c r="O656" s="45">
        <f t="shared" si="313"/>
        <v>0</v>
      </c>
      <c r="P656" s="45">
        <f t="shared" si="314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0"/>
      <c r="C657" s="565"/>
      <c r="D657" s="566"/>
      <c r="E657" s="567" t="s">
        <v>185</v>
      </c>
      <c r="F657" s="565"/>
      <c r="G657" s="568"/>
      <c r="H657" s="165" t="s">
        <v>12</v>
      </c>
      <c r="I657" s="44"/>
      <c r="J657" s="44"/>
      <c r="K657" s="45"/>
      <c r="L657" s="45">
        <f t="shared" ref="L657:N657" ca="1" si="316">L660+L667</f>
        <v>139600</v>
      </c>
      <c r="M657" s="45">
        <f t="shared" si="316"/>
        <v>0</v>
      </c>
      <c r="N657" s="45">
        <f t="shared" ca="1" si="316"/>
        <v>28535</v>
      </c>
      <c r="O657" s="45">
        <f t="shared" ca="1" si="313"/>
        <v>20.440544412607451</v>
      </c>
      <c r="P657" s="45">
        <f t="shared" si="314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540"/>
      <c r="D658" s="571" t="s">
        <v>20</v>
      </c>
      <c r="E658" s="540"/>
      <c r="F658" s="540"/>
      <c r="G658" s="189"/>
      <c r="H658" s="161" t="s">
        <v>12</v>
      </c>
      <c r="I658" s="162"/>
      <c r="J658" s="162"/>
      <c r="K658" s="163"/>
      <c r="L658" s="38">
        <f t="shared" ref="L658:N658" ca="1" si="317">L659+L660</f>
        <v>139600</v>
      </c>
      <c r="M658" s="38">
        <f t="shared" si="317"/>
        <v>0</v>
      </c>
      <c r="N658" s="38">
        <f t="shared" ca="1" si="317"/>
        <v>28535</v>
      </c>
      <c r="O658" s="38">
        <f t="shared" ca="1" si="313"/>
        <v>20.440544412607451</v>
      </c>
      <c r="P658" s="38">
        <f t="shared" si="314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0"/>
      <c r="C659" s="565"/>
      <c r="D659" s="566"/>
      <c r="E659" s="567" t="s">
        <v>184</v>
      </c>
      <c r="F659" s="565"/>
      <c r="G659" s="56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3"/>
        <v>0</v>
      </c>
      <c r="P659" s="45">
        <f t="shared" si="314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0"/>
      <c r="C660" s="565"/>
      <c r="D660" s="566"/>
      <c r="E660" s="567" t="s">
        <v>185</v>
      </c>
      <c r="F660" s="565"/>
      <c r="G660" s="568"/>
      <c r="H660" s="165" t="s">
        <v>12</v>
      </c>
      <c r="I660" s="44"/>
      <c r="J660" s="44"/>
      <c r="K660" s="45"/>
      <c r="L660" s="45">
        <f ca="1">IFERROR(__xludf.DUMMYFUNCTION("IMPORTRANGE(""https://docs.google.com/spreadsheets/d/1KxicF4apzSqm0-jIpmueT4kyZtE-Cwn5zskl7GD4loQ/edit?usp=share_link"",""กำแพงเพชร!l660"")+IMPORTRANGE(""https://docs.google.com/spreadsheets/d/1ZNYWeiFoFA1K1U4xKWqRX29MBvEyRHXORjo734Gnq_c/edit?usp=share_li"&amp;"nk"",""เชียงราย!l660"")
+IMPORTRANGE(""https://docs.google.com/spreadsheets/d/1Jgv0Y7YlHDtsiDawwp-uvifEJ8HVaSn0k2aGHG8-hwM/edit?usp=share_link"",""เชียงใหม่!l660"")+IMPORTRANGE(""https://docs.google.com/spreadsheets/d/1JWG2rZePOz9pe-f-ObA-yDr0VoOX2kSb0qIi"&amp;"x2mTUo8/edit?usp=share_link"",""ตาก!l660"")+IMPORTRANGE(""https://docs.google.com/spreadsheets/d/10nSRjK08hx8Y6HgSOQKNw81lyY46Zc7U_Cj72hBMp9U/edit?usp=share_link"",""นครสวรรค์!l660"")+IMPORTRANGE(""https://docs.google.com/spreadsheets/d/1gFVb7qd7amutrIxAA"&amp;"oM7lcy35hllxznovot8lyOfvDo/edit?usp=share_link"",""น่าน!l660"")+IMPORTRANGE(""https://docs.google.com/spreadsheets/d/1K0Aa9s-6EuHE5M0FG1F9aHLXRCOV917xvycTdLdct0w/edit?usp=share_link"",""พะเยา!l660"")+IMPORTRANGE(""https://docs.google.com/spreadsheets/d/1Y"&amp;"9LPKx95PyL5OKy09d-KbKJSuuEZCFdkhYjwC0XQjBA/edit?usp=share_link"",""พิจิตร!l660"")+IMPORTRANGE(""https://docs.google.com/spreadsheets/d/16OMuOwy2eVqZcYWOouQtTpa8X1L23h4660uVHc0C8os/edit?usp=share_link"",""พิษณุโลก!l660"")+IMPORTRANGE(""https://docs.google."&amp;"com/spreadsheets/d/1GfgTldLG6k77HXaMQzaafODklYuucJZQNs_GAPEfZyY/edit?usp=share_link"",""เพชรบูรณ์!l660"")+IMPORTRANGE(""https://docs.google.com/spreadsheets/d/1gvTMYAnm7v1yG1BKWFtr0DnaTsq59oW9dwWvFgq6hs0/edit?usp=share_link"",""แพร่!l660"")+IMPORTRANGE("""&amp;"https://docs.google.com/spreadsheets/d/1Wbcosgy-Xa1xXUArJSOenub6EfZHUSzc_bpJFWwQUf0/edit?usp=share_link"",""แม่ฮ่องสอน!l660"")+IMPORTRANGE(""https://docs.google.com/spreadsheets/d/1p7ERhsr0qZeSn-KSOdeHS9r0heI-lHtkcn2OH7hP0jQ/edit?usp=share_link"",""ลำปาง!"&amp;"l660"")+IMPORTRANGE(""https://docs.google.com/spreadsheets/d/1-uUXvimVhiU2U0bMN-xi2te0tS4X7DI2GLPnMjzl8cA/edit?usp=share_link"",""ลำพูน!l660"")+IMPORTRANGE(""https://docs.google.com/spreadsheets/d/17HrOaa5pBUI1onckFfumXB8xlg35qb2uBAFfF1D-Myo/edit?usp=shar"&amp;"e_link"",""สุโขทัย!l660"")+IMPORTRANGE(""https://docs.google.com/spreadsheets/d/1ubs5cl16eYL9gHbdHTJtmtYb9MGzHBs7CAphn8kNCgM/edit?usp=share_link"",""อุตรดิตถ์!l660"")+IMPORTRANGE(""https://docs.google.com/spreadsheets/d/1kII0BjS6CtVrBvI8IrytgPdxDrlyQDyigz"&amp;"MsohRtDMs/edit?usp=share_link"",""อุทัยธานี!l660"")
"),139600)</f>
        <v>139600</v>
      </c>
      <c r="M660" s="93">
        <v>0</v>
      </c>
      <c r="N660" s="45">
        <f ca="1">N661+N662+N663+N664</f>
        <v>28535</v>
      </c>
      <c r="O660" s="45">
        <f t="shared" ca="1" si="313"/>
        <v>20.440544412607451</v>
      </c>
      <c r="P660" s="45">
        <f t="shared" si="314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540"/>
      <c r="D661" s="540"/>
      <c r="E661" s="540"/>
      <c r="F661" s="541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xicF4apzSqm0-jIpmueT4kyZtE-Cwn5zskl7GD4loQ/edit?usp=share_link"",""กำแพงเพชร!n661"")+IMPORTRANGE(""https://docs.google.com/spreadsheets/d/1ZNYWeiFoFA1K1U4xKWqRX29MBvEyRHXORjo734Gnq_c/edit?usp=share_li"&amp;"nk"",""เชียงราย!n661"")
+IMPORTRANGE(""https://docs.google.com/spreadsheets/d/1Jgv0Y7YlHDtsiDawwp-uvifEJ8HVaSn0k2aGHG8-hwM/edit?usp=share_link"",""เชียงใหม่!n661"")+IMPORTRANGE(""https://docs.google.com/spreadsheets/d/1JWG2rZePOz9pe-f-ObA-yDr0VoOX2kSb0qIi"&amp;"x2mTUo8/edit?usp=share_link"",""ตาก!n661"")+IMPORTRANGE(""https://docs.google.com/spreadsheets/d/10nSRjK08hx8Y6HgSOQKNw81lyY46Zc7U_Cj72hBMp9U/edit?usp=share_link"",""นครสวรรค์!n661"")+IMPORTRANGE(""https://docs.google.com/spreadsheets/d/1gFVb7qd7amutrIxAA"&amp;"oM7lcy35hllxznovot8lyOfvDo/edit?usp=share_link"",""น่าน!n661"")+IMPORTRANGE(""https://docs.google.com/spreadsheets/d/1K0Aa9s-6EuHE5M0FG1F9aHLXRCOV917xvycTdLdct0w/edit?usp=share_link"",""พะเยา!n661"")+IMPORTRANGE(""https://docs.google.com/spreadsheets/d/1Y"&amp;"9LPKx95PyL5OKy09d-KbKJSuuEZCFdkhYjwC0XQjBA/edit?usp=share_link"",""พิจิตร!n661"")+IMPORTRANGE(""https://docs.google.com/spreadsheets/d/16OMuOwy2eVqZcYWOouQtTpa8X1L23h4660uVHc0C8os/edit?usp=share_link"",""พิษณุโลก!n661"")+IMPORTRANGE(""https://docs.google."&amp;"com/spreadsheets/d/1GfgTldLG6k77HXaMQzaafODklYuucJZQNs_GAPEfZyY/edit?usp=share_link"",""เพชรบูรณ์!n661"")+IMPORTRANGE(""https://docs.google.com/spreadsheets/d/1gvTMYAnm7v1yG1BKWFtr0DnaTsq59oW9dwWvFgq6hs0/edit?usp=share_link"",""แพร่!n661"")+IMPORTRANGE("""&amp;"https://docs.google.com/spreadsheets/d/1Wbcosgy-Xa1xXUArJSOenub6EfZHUSzc_bpJFWwQUf0/edit?usp=share_link"",""แม่ฮ่องสอน!n661"")+IMPORTRANGE(""https://docs.google.com/spreadsheets/d/1p7ERhsr0qZeSn-KSOdeHS9r0heI-lHtkcn2OH7hP0jQ/edit?usp=share_link"",""ลำปาง!"&amp;"n661"")+IMPORTRANGE(""https://docs.google.com/spreadsheets/d/1-uUXvimVhiU2U0bMN-xi2te0tS4X7DI2GLPnMjzl8cA/edit?usp=share_link"",""ลำพูน!n661"")+IMPORTRANGE(""https://docs.google.com/spreadsheets/d/17HrOaa5pBUI1onckFfumXB8xlg35qb2uBAFfF1D-Myo/edit?usp=shar"&amp;"e_link"",""สุโขทัย!n661"")+IMPORTRANGE(""https://docs.google.com/spreadsheets/d/1ubs5cl16eYL9gHbdHTJtmtYb9MGzHBs7CAphn8kNCgM/edit?usp=share_link"",""อุตรดิตถ์!n661"")+IMPORTRANGE(""https://docs.google.com/spreadsheets/d/1kII0BjS6CtVrBvI8IrytgPdxDrlyQDyigz"&amp;"MsohRtDMs/edit?usp=share_link"",""อุทัยธานี!n661"")
"),0)</f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540"/>
      <c r="D662" s="540"/>
      <c r="E662" s="540"/>
      <c r="F662" s="541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xicF4apzSqm0-jIpmueT4kyZtE-Cwn5zskl7GD4loQ/edit?usp=share_link"",""กำแพงเพชร!n662"")+IMPORTRANGE(""https://docs.google.com/spreadsheets/d/1ZNYWeiFoFA1K1U4xKWqRX29MBvEyRHXORjo734Gnq_c/edit?usp=share_li"&amp;"nk"",""เชียงราย!n662"")
+IMPORTRANGE(""https://docs.google.com/spreadsheets/d/1Jgv0Y7YlHDtsiDawwp-uvifEJ8HVaSn0k2aGHG8-hwM/edit?usp=share_link"",""เชียงใหม่!n662"")+IMPORTRANGE(""https://docs.google.com/spreadsheets/d/1JWG2rZePOz9pe-f-ObA-yDr0VoOX2kSb0qIi"&amp;"x2mTUo8/edit?usp=share_link"",""ตาก!n662"")+IMPORTRANGE(""https://docs.google.com/spreadsheets/d/10nSRjK08hx8Y6HgSOQKNw81lyY46Zc7U_Cj72hBMp9U/edit?usp=share_link"",""นครสวรรค์!n662"")+IMPORTRANGE(""https://docs.google.com/spreadsheets/d/1gFVb7qd7amutrIxAA"&amp;"oM7lcy35hllxznovot8lyOfvDo/edit?usp=share_link"",""น่าน!n662"")+IMPORTRANGE(""https://docs.google.com/spreadsheets/d/1K0Aa9s-6EuHE5M0FG1F9aHLXRCOV917xvycTdLdct0w/edit?usp=share_link"",""พะเยา!n662"")+IMPORTRANGE(""https://docs.google.com/spreadsheets/d/1Y"&amp;"9LPKx95PyL5OKy09d-KbKJSuuEZCFdkhYjwC0XQjBA/edit?usp=share_link"",""พิจิตร!n662"")+IMPORTRANGE(""https://docs.google.com/spreadsheets/d/16OMuOwy2eVqZcYWOouQtTpa8X1L23h4660uVHc0C8os/edit?usp=share_link"",""พิษณุโลก!n662"")+IMPORTRANGE(""https://docs.google."&amp;"com/spreadsheets/d/1GfgTldLG6k77HXaMQzaafODklYuucJZQNs_GAPEfZyY/edit?usp=share_link"",""เพชรบูรณ์!n662"")+IMPORTRANGE(""https://docs.google.com/spreadsheets/d/1gvTMYAnm7v1yG1BKWFtr0DnaTsq59oW9dwWvFgq6hs0/edit?usp=share_link"",""แพร่!n662"")+IMPORTRANGE("""&amp;"https://docs.google.com/spreadsheets/d/1Wbcosgy-Xa1xXUArJSOenub6EfZHUSzc_bpJFWwQUf0/edit?usp=share_link"",""แม่ฮ่องสอน!n662"")+IMPORTRANGE(""https://docs.google.com/spreadsheets/d/1p7ERhsr0qZeSn-KSOdeHS9r0heI-lHtkcn2OH7hP0jQ/edit?usp=share_link"",""ลำปาง!"&amp;"n662"")+IMPORTRANGE(""https://docs.google.com/spreadsheets/d/1-uUXvimVhiU2U0bMN-xi2te0tS4X7DI2GLPnMjzl8cA/edit?usp=share_link"",""ลำพูน!n662"")+IMPORTRANGE(""https://docs.google.com/spreadsheets/d/17HrOaa5pBUI1onckFfumXB8xlg35qb2uBAFfF1D-Myo/edit?usp=shar"&amp;"e_link"",""สุโขทัย!n662"")+IMPORTRANGE(""https://docs.google.com/spreadsheets/d/1ubs5cl16eYL9gHbdHTJtmtYb9MGzHBs7CAphn8kNCgM/edit?usp=share_link"",""อุตรดิตถ์!n662"")+IMPORTRANGE(""https://docs.google.com/spreadsheets/d/1kII0BjS6CtVrBvI8IrytgPdxDrlyQDyigz"&amp;"MsohRtDMs/edit?usp=share_link"",""อุทัยธานี!n662"")
"),0)</f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540"/>
      <c r="E663" s="540"/>
      <c r="F663" s="541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xicF4apzSqm0-jIpmueT4kyZtE-Cwn5zskl7GD4loQ/edit?usp=share_link"",""กำแพงเพชร!n663"")+IMPORTRANGE(""https://docs.google.com/spreadsheets/d/1ZNYWeiFoFA1K1U4xKWqRX29MBvEyRHXORjo734Gnq_c/edit?usp=share_li"&amp;"nk"",""เชียงราย!n663"")
+IMPORTRANGE(""https://docs.google.com/spreadsheets/d/1Jgv0Y7YlHDtsiDawwp-uvifEJ8HVaSn0k2aGHG8-hwM/edit?usp=share_link"",""เชียงใหม่!n663"")+IMPORTRANGE(""https://docs.google.com/spreadsheets/d/1JWG2rZePOz9pe-f-ObA-yDr0VoOX2kSb0qIi"&amp;"x2mTUo8/edit?usp=share_link"",""ตาก!n663"")+IMPORTRANGE(""https://docs.google.com/spreadsheets/d/10nSRjK08hx8Y6HgSOQKNw81lyY46Zc7U_Cj72hBMp9U/edit?usp=share_link"",""นครสวรรค์!n663"")+IMPORTRANGE(""https://docs.google.com/spreadsheets/d/1gFVb7qd7amutrIxAA"&amp;"oM7lcy35hllxznovot8lyOfvDo/edit?usp=share_link"",""น่าน!n663"")+IMPORTRANGE(""https://docs.google.com/spreadsheets/d/1K0Aa9s-6EuHE5M0FG1F9aHLXRCOV917xvycTdLdct0w/edit?usp=share_link"",""พะเยา!n663"")+IMPORTRANGE(""https://docs.google.com/spreadsheets/d/1Y"&amp;"9LPKx95PyL5OKy09d-KbKJSuuEZCFdkhYjwC0XQjBA/edit?usp=share_link"",""พิจิตร!n663"")+IMPORTRANGE(""https://docs.google.com/spreadsheets/d/16OMuOwy2eVqZcYWOouQtTpa8X1L23h4660uVHc0C8os/edit?usp=share_link"",""พิษณุโลก!n663"")+IMPORTRANGE(""https://docs.google."&amp;"com/spreadsheets/d/1GfgTldLG6k77HXaMQzaafODklYuucJZQNs_GAPEfZyY/edit?usp=share_link"",""เพชรบูรณ์!n663"")+IMPORTRANGE(""https://docs.google.com/spreadsheets/d/1gvTMYAnm7v1yG1BKWFtr0DnaTsq59oW9dwWvFgq6hs0/edit?usp=share_link"",""แพร่!n663"")+IMPORTRANGE("""&amp;"https://docs.google.com/spreadsheets/d/1Wbcosgy-Xa1xXUArJSOenub6EfZHUSzc_bpJFWwQUf0/edit?usp=share_link"",""แม่ฮ่องสอน!n663"")+IMPORTRANGE(""https://docs.google.com/spreadsheets/d/1p7ERhsr0qZeSn-KSOdeHS9r0heI-lHtkcn2OH7hP0jQ/edit?usp=share_link"",""ลำปาง!"&amp;"n663"")+IMPORTRANGE(""https://docs.google.com/spreadsheets/d/1-uUXvimVhiU2U0bMN-xi2te0tS4X7DI2GLPnMjzl8cA/edit?usp=share_link"",""ลำพูน!n663"")+IMPORTRANGE(""https://docs.google.com/spreadsheets/d/17HrOaa5pBUI1onckFfumXB8xlg35qb2uBAFfF1D-Myo/edit?usp=shar"&amp;"e_link"",""สุโขทัย!n663"")+IMPORTRANGE(""https://docs.google.com/spreadsheets/d/1ubs5cl16eYL9gHbdHTJtmtYb9MGzHBs7CAphn8kNCgM/edit?usp=share_link"",""อุตรดิตถ์!n663"")+IMPORTRANGE(""https://docs.google.com/spreadsheets/d/1kII0BjS6CtVrBvI8IrytgPdxDrlyQDyigz"&amp;"MsohRtDMs/edit?usp=share_link"",""อุทัยธานี!n663"")
"),0)</f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540"/>
      <c r="F664" s="541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xicF4apzSqm0-jIpmueT4kyZtE-Cwn5zskl7GD4loQ/edit?usp=share_link"",""กำแพงเพชร!n664"")+IMPORTRANGE(""https://docs.google.com/spreadsheets/d/1ZNYWeiFoFA1K1U4xKWqRX29MBvEyRHXORjo734Gnq_c/edit?usp=share_li"&amp;"nk"",""เชียงราย!n664"")
+IMPORTRANGE(""https://docs.google.com/spreadsheets/d/1Jgv0Y7YlHDtsiDawwp-uvifEJ8HVaSn0k2aGHG8-hwM/edit?usp=share_link"",""เชียงใหม่!n664"")+IMPORTRANGE(""https://docs.google.com/spreadsheets/d/1JWG2rZePOz9pe-f-ObA-yDr0VoOX2kSb0qIi"&amp;"x2mTUo8/edit?usp=share_link"",""ตาก!n664"")+IMPORTRANGE(""https://docs.google.com/spreadsheets/d/10nSRjK08hx8Y6HgSOQKNw81lyY46Zc7U_Cj72hBMp9U/edit?usp=share_link"",""นครสวรรค์!n664"")+IMPORTRANGE(""https://docs.google.com/spreadsheets/d/1gFVb7qd7amutrIxAA"&amp;"oM7lcy35hllxznovot8lyOfvDo/edit?usp=share_link"",""น่าน!n664"")+IMPORTRANGE(""https://docs.google.com/spreadsheets/d/1K0Aa9s-6EuHE5M0FG1F9aHLXRCOV917xvycTdLdct0w/edit?usp=share_link"",""พะเยา!n664"")+IMPORTRANGE(""https://docs.google.com/spreadsheets/d/1Y"&amp;"9LPKx95PyL5OKy09d-KbKJSuuEZCFdkhYjwC0XQjBA/edit?usp=share_link"",""พิจิตร!n664"")+IMPORTRANGE(""https://docs.google.com/spreadsheets/d/16OMuOwy2eVqZcYWOouQtTpa8X1L23h4660uVHc0C8os/edit?usp=share_link"",""พิษณุโลก!n664"")+IMPORTRANGE(""https://docs.google."&amp;"com/spreadsheets/d/1GfgTldLG6k77HXaMQzaafODklYuucJZQNs_GAPEfZyY/edit?usp=share_link"",""เพชรบูรณ์!n664"")+IMPORTRANGE(""https://docs.google.com/spreadsheets/d/1gvTMYAnm7v1yG1BKWFtr0DnaTsq59oW9dwWvFgq6hs0/edit?usp=share_link"",""แพร่!n664"")+IMPORTRANGE("""&amp;"https://docs.google.com/spreadsheets/d/1Wbcosgy-Xa1xXUArJSOenub6EfZHUSzc_bpJFWwQUf0/edit?usp=share_link"",""แม่ฮ่องสอน!n664"")+IMPORTRANGE(""https://docs.google.com/spreadsheets/d/1p7ERhsr0qZeSn-KSOdeHS9r0heI-lHtkcn2OH7hP0jQ/edit?usp=share_link"",""ลำปาง!"&amp;"n664"")+IMPORTRANGE(""https://docs.google.com/spreadsheets/d/1-uUXvimVhiU2U0bMN-xi2te0tS4X7DI2GLPnMjzl8cA/edit?usp=share_link"",""ลำพูน!n664"")+IMPORTRANGE(""https://docs.google.com/spreadsheets/d/17HrOaa5pBUI1onckFfumXB8xlg35qb2uBAFfF1D-Myo/edit?usp=shar"&amp;"e_link"",""สุโขทัย!n664"")+IMPORTRANGE(""https://docs.google.com/spreadsheets/d/1ubs5cl16eYL9gHbdHTJtmtYb9MGzHBs7CAphn8kNCgM/edit?usp=share_link"",""อุตรดิตถ์!n664"")+IMPORTRANGE(""https://docs.google.com/spreadsheets/d/1kII0BjS6CtVrBvI8IrytgPdxDrlyQDyigz"&amp;"MsohRtDMs/edit?usp=share_link"",""อุทัยธานี!n664"")
"),28535)</f>
        <v>28535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540"/>
      <c r="F665" s="540"/>
      <c r="G665" s="189"/>
      <c r="H665" s="168" t="s">
        <v>12</v>
      </c>
      <c r="I665" s="162"/>
      <c r="J665" s="162"/>
      <c r="K665" s="163"/>
      <c r="L665" s="38">
        <f t="shared" ref="L665:N665" si="318">L666+L667</f>
        <v>0</v>
      </c>
      <c r="M665" s="38">
        <f t="shared" si="318"/>
        <v>0</v>
      </c>
      <c r="N665" s="38">
        <f t="shared" si="318"/>
        <v>0</v>
      </c>
      <c r="O665" s="38">
        <f t="shared" ref="O665:O667" si="319">IF(L665&gt;0,N665*100/L665,0)</f>
        <v>0</v>
      </c>
      <c r="P665" s="38">
        <f t="shared" ref="P665:P667" si="32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0"/>
      <c r="C666" s="570"/>
      <c r="D666" s="570"/>
      <c r="E666" s="567" t="s">
        <v>18</v>
      </c>
      <c r="F666" s="565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9"/>
        <v>0</v>
      </c>
      <c r="P666" s="45">
        <f t="shared" si="32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0"/>
      <c r="C667" s="570"/>
      <c r="D667" s="570"/>
      <c r="E667" s="567" t="s">
        <v>19</v>
      </c>
      <c r="F667" s="565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9"/>
        <v>0</v>
      </c>
      <c r="P667" s="45">
        <f t="shared" si="32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74"/>
      <c r="C668" s="539" t="s">
        <v>16</v>
      </c>
      <c r="D668" s="575" t="s">
        <v>38</v>
      </c>
      <c r="E668" s="577"/>
      <c r="F668" s="577"/>
      <c r="G668" s="578"/>
      <c r="H668" s="175"/>
      <c r="I668" s="162"/>
      <c r="J668" s="162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74"/>
      <c r="C669" s="574"/>
      <c r="D669" s="585" t="s">
        <v>280</v>
      </c>
      <c r="E669" s="586"/>
      <c r="F669" s="586"/>
      <c r="G669" s="175"/>
      <c r="H669" s="719" t="s">
        <v>46</v>
      </c>
      <c r="I669" s="194">
        <f ca="1">IFERROR(__xludf.DUMMYFUNCTION("IMPORTRANGE(""https://docs.google.com/spreadsheets/d/1KxicF4apzSqm0-jIpmueT4kyZtE-Cwn5zskl7GD4loQ/edit?usp=share_link"",""กำแพงเพชร!I669"")+IMPORTRANGE(""https://docs.google.com/spreadsheets/d/1ZNYWeiFoFA1K1U4xKWqRX29MBvEyRHXORjo734Gnq_c/edit?usp=share_li"&amp;"nk"",""เชียงราย!I669"")
+IMPORTRANGE(""https://docs.google.com/spreadsheets/d/1Jgv0Y7YlHDtsiDawwp-uvifEJ8HVaSn0k2aGHG8-hwM/edit?usp=share_link"",""เชียงใหม่!I669"")+IMPORTRANGE(""https://docs.google.com/spreadsheets/d/1JWG2rZePOz9pe-f-ObA-yDr0VoOX2kSb0qIi"&amp;"x2mTUo8/edit?usp=share_link"",""ตาก!I669"")+IMPORTRANGE(""https://docs.google.com/spreadsheets/d/10nSRjK08hx8Y6HgSOQKNw81lyY46Zc7U_Cj72hBMp9U/edit?usp=share_link"",""นครสวรรค์!I669"")+IMPORTRANGE(""https://docs.google.com/spreadsheets/d/1gFVb7qd7amutrIxAA"&amp;"oM7lcy35hllxznovot8lyOfvDo/edit?usp=share_link"",""น่าน!I669"")+IMPORTRANGE(""https://docs.google.com/spreadsheets/d/1K0Aa9s-6EuHE5M0FG1F9aHLXRCOV917xvycTdLdct0w/edit?usp=share_link"",""พะเยา!I669"")+IMPORTRANGE(""https://docs.google.com/spreadsheets/d/1Y"&amp;"9LPKx95PyL5OKy09d-KbKJSuuEZCFdkhYjwC0XQjBA/edit?usp=share_link"",""พิจิตร!I669"")+IMPORTRANGE(""https://docs.google.com/spreadsheets/d/16OMuOwy2eVqZcYWOouQtTpa8X1L23h4660uVHc0C8os/edit?usp=share_link"",""พิษณุโลก!I669"")+IMPORTRANGE(""https://docs.google."&amp;"com/spreadsheets/d/1GfgTldLG6k77HXaMQzaafODklYuucJZQNs_GAPEfZyY/edit?usp=share_link"",""เพชรบูรณ์!I669"")+IMPORTRANGE(""https://docs.google.com/spreadsheets/d/1gvTMYAnm7v1yG1BKWFtr0DnaTsq59oW9dwWvFgq6hs0/edit?usp=share_link"",""แพร่!I669"")+IMPORTRANGE("""&amp;"https://docs.google.com/spreadsheets/d/1Wbcosgy-Xa1xXUArJSOenub6EfZHUSzc_bpJFWwQUf0/edit?usp=share_link"",""แม่ฮ่องสอน!I669"")+IMPORTRANGE(""https://docs.google.com/spreadsheets/d/1p7ERhsr0qZeSn-KSOdeHS9r0heI-lHtkcn2OH7hP0jQ/edit?usp=share_link"",""ลำปาง!"&amp;"I669"")+IMPORTRANGE(""https://docs.google.com/spreadsheets/d/1-uUXvimVhiU2U0bMN-xi2te0tS4X7DI2GLPnMjzl8cA/edit?usp=share_link"",""ลำพูน!I669"")+IMPORTRANGE(""https://docs.google.com/spreadsheets/d/17HrOaa5pBUI1onckFfumXB8xlg35qb2uBAFfF1D-Myo/edit?usp=shar"&amp;"e_link"",""สุโขทัย!I669"")+IMPORTRANGE(""https://docs.google.com/spreadsheets/d/1ubs5cl16eYL9gHbdHTJtmtYb9MGzHBs7CAphn8kNCgM/edit?usp=share_link"",""อุตรดิตถ์!I669"")+IMPORTRANGE(""https://docs.google.com/spreadsheets/d/1kII0BjS6CtVrBvI8IrytgPdxDrlyQDyigz"&amp;"MsohRtDMs/edit?usp=share_link"",""อุทัยธานี!I669"")
"),1100)</f>
        <v>1100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74"/>
      <c r="C670" s="574"/>
      <c r="D670" s="574"/>
      <c r="E670" s="187" t="s">
        <v>281</v>
      </c>
      <c r="F670" s="586"/>
      <c r="G670" s="175"/>
      <c r="H670" s="417" t="s">
        <v>66</v>
      </c>
      <c r="I670" s="37">
        <f ca="1">IFERROR(__xludf.DUMMYFUNCTION("IMPORTRANGE(""https://docs.google.com/spreadsheets/d/1KxicF4apzSqm0-jIpmueT4kyZtE-Cwn5zskl7GD4loQ/edit?usp=share_link"",""กำแพงเพชร!I670"")+IMPORTRANGE(""https://docs.google.com/spreadsheets/d/1ZNYWeiFoFA1K1U4xKWqRX29MBvEyRHXORjo734Gnq_c/edit?usp=share_li"&amp;"nk"",""เชียงราย!I670"")
+IMPORTRANGE(""https://docs.google.com/spreadsheets/d/1Jgv0Y7YlHDtsiDawwp-uvifEJ8HVaSn0k2aGHG8-hwM/edit?usp=share_link"",""เชียงใหม่!I670"")+IMPORTRANGE(""https://docs.google.com/spreadsheets/d/1JWG2rZePOz9pe-f-ObA-yDr0VoOX2kSb0qIi"&amp;"x2mTUo8/edit?usp=share_link"",""ตาก!I670"")+IMPORTRANGE(""https://docs.google.com/spreadsheets/d/10nSRjK08hx8Y6HgSOQKNw81lyY46Zc7U_Cj72hBMp9U/edit?usp=share_link"",""นครสวรรค์!I670"")+IMPORTRANGE(""https://docs.google.com/spreadsheets/d/1gFVb7qd7amutrIxAA"&amp;"oM7lcy35hllxznovot8lyOfvDo/edit?usp=share_link"",""น่าน!I670"")+IMPORTRANGE(""https://docs.google.com/spreadsheets/d/1K0Aa9s-6EuHE5M0FG1F9aHLXRCOV917xvycTdLdct0w/edit?usp=share_link"",""พะเยา!I670"")+IMPORTRANGE(""https://docs.google.com/spreadsheets/d/1Y"&amp;"9LPKx95PyL5OKy09d-KbKJSuuEZCFdkhYjwC0XQjBA/edit?usp=share_link"",""พิจิตร!I670"")+IMPORTRANGE(""https://docs.google.com/spreadsheets/d/16OMuOwy2eVqZcYWOouQtTpa8X1L23h4660uVHc0C8os/edit?usp=share_link"",""พิษณุโลก!I670"")+IMPORTRANGE(""https://docs.google."&amp;"com/spreadsheets/d/1GfgTldLG6k77HXaMQzaafODklYuucJZQNs_GAPEfZyY/edit?usp=share_link"",""เพชรบูรณ์!I670"")+IMPORTRANGE(""https://docs.google.com/spreadsheets/d/1gvTMYAnm7v1yG1BKWFtr0DnaTsq59oW9dwWvFgq6hs0/edit?usp=share_link"",""แพร่!I670"")+IMPORTRANGE("""&amp;"https://docs.google.com/spreadsheets/d/1Wbcosgy-Xa1xXUArJSOenub6EfZHUSzc_bpJFWwQUf0/edit?usp=share_link"",""แม่ฮ่องสอน!I670"")+IMPORTRANGE(""https://docs.google.com/spreadsheets/d/1p7ERhsr0qZeSn-KSOdeHS9r0heI-lHtkcn2OH7hP0jQ/edit?usp=share_link"",""ลำปาง!"&amp;"I670"")+IMPORTRANGE(""https://docs.google.com/spreadsheets/d/1-uUXvimVhiU2U0bMN-xi2te0tS4X7DI2GLPnMjzl8cA/edit?usp=share_link"",""ลำพูน!I670"")+IMPORTRANGE(""https://docs.google.com/spreadsheets/d/17HrOaa5pBUI1onckFfumXB8xlg35qb2uBAFfF1D-Myo/edit?usp=shar"&amp;"e_link"",""สุโขทัย!I670"")+IMPORTRANGE(""https://docs.google.com/spreadsheets/d/1ubs5cl16eYL9gHbdHTJtmtYb9MGzHBs7CAphn8kNCgM/edit?usp=share_link"",""อุตรดิตถ์!I670"")+IMPORTRANGE(""https://docs.google.com/spreadsheets/d/1kII0BjS6CtVrBvI8IrytgPdxDrlyQDyigz"&amp;"MsohRtDMs/edit?usp=share_link"",""อุทัยธานี!I670"")
"),46)</f>
        <v>46</v>
      </c>
      <c r="J670" s="183">
        <f ca="1">IFERROR(__xludf.DUMMYFUNCTION("IMPORTRANGE(""https://docs.google.com/spreadsheets/d/1KxicF4apzSqm0-jIpmueT4kyZtE-Cwn5zskl7GD4loQ/edit?usp=share_link"",""กำแพงเพชร!J670"")+IMPORTRANGE(""https://docs.google.com/spreadsheets/d/1ZNYWeiFoFA1K1U4xKWqRX29MBvEyRHXORjo734Gnq_c/edit?usp=share_li"&amp;"nk"",""เชียงราย!J670"")
+IMPORTRANGE(""https://docs.google.com/spreadsheets/d/1Jgv0Y7YlHDtsiDawwp-uvifEJ8HVaSn0k2aGHG8-hwM/edit?usp=share_link"",""เชียงใหม่!J670"")+IMPORTRANGE(""https://docs.google.com/spreadsheets/d/1JWG2rZePOz9pe-f-ObA-yDr0VoOX2kSb0qIi"&amp;"x2mTUo8/edit?usp=share_link"",""ตาก!J670"")+IMPORTRANGE(""https://docs.google.com/spreadsheets/d/10nSRjK08hx8Y6HgSOQKNw81lyY46Zc7U_Cj72hBMp9U/edit?usp=share_link"",""นครสวรรค์!J670"")+IMPORTRANGE(""https://docs.google.com/spreadsheets/d/1gFVb7qd7amutrIxAA"&amp;"oM7lcy35hllxznovot8lyOfvDo/edit?usp=share_link"",""น่าน!J670"")+IMPORTRANGE(""https://docs.google.com/spreadsheets/d/1K0Aa9s-6EuHE5M0FG1F9aHLXRCOV917xvycTdLdct0w/edit?usp=share_link"",""พะเยา!J670"")+IMPORTRANGE(""https://docs.google.com/spreadsheets/d/1Y"&amp;"9LPKx95PyL5OKy09d-KbKJSuuEZCFdkhYjwC0XQjBA/edit?usp=share_link"",""พิจิตร!J670"")+IMPORTRANGE(""https://docs.google.com/spreadsheets/d/16OMuOwy2eVqZcYWOouQtTpa8X1L23h4660uVHc0C8os/edit?usp=share_link"",""พิษณุโลก!J670"")+IMPORTRANGE(""https://docs.google."&amp;"com/spreadsheets/d/1GfgTldLG6k77HXaMQzaafODklYuucJZQNs_GAPEfZyY/edit?usp=share_link"",""เพชรบูรณ์!J670"")+IMPORTRANGE(""https://docs.google.com/spreadsheets/d/1gvTMYAnm7v1yG1BKWFtr0DnaTsq59oW9dwWvFgq6hs0/edit?usp=share_link"",""แพร่!J670"")+IMPORTRANGE("""&amp;"https://docs.google.com/spreadsheets/d/1Wbcosgy-Xa1xXUArJSOenub6EfZHUSzc_bpJFWwQUf0/edit?usp=share_link"",""แม่ฮ่องสอน!J670"")+IMPORTRANGE(""https://docs.google.com/spreadsheets/d/1p7ERhsr0qZeSn-KSOdeHS9r0heI-lHtkcn2OH7hP0jQ/edit?usp=share_link"",""ลำปาง!"&amp;"J670"")+IMPORTRANGE(""https://docs.google.com/spreadsheets/d/1-uUXvimVhiU2U0bMN-xi2te0tS4X7DI2GLPnMjzl8cA/edit?usp=share_link"",""ลำพูน!J670"")+IMPORTRANGE(""https://docs.google.com/spreadsheets/d/17HrOaa5pBUI1onckFfumXB8xlg35qb2uBAFfF1D-Myo/edit?usp=shar"&amp;"e_link"",""สุโขทัย!J670"")+IMPORTRANGE(""https://docs.google.com/spreadsheets/d/1ubs5cl16eYL9gHbdHTJtmtYb9MGzHBs7CAphn8kNCgM/edit?usp=share_link"",""อุตรดิตถ์!J670"")+IMPORTRANGE(""https://docs.google.com/spreadsheets/d/1kII0BjS6CtVrBvI8IrytgPdxDrlyQDyigz"&amp;"MsohRtDMs/edit?usp=share_link"",""อุทัยธานี!J670"")
"),45)</f>
        <v>45</v>
      </c>
      <c r="K670" s="38">
        <f ca="1">IF(I670&gt;0,(J670*100)/I670,0)</f>
        <v>97.826086956521735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74"/>
      <c r="C671" s="574"/>
      <c r="D671" s="574"/>
      <c r="E671" s="187" t="s">
        <v>282</v>
      </c>
      <c r="F671" s="586"/>
      <c r="G671" s="175"/>
      <c r="H671" s="417" t="s">
        <v>66</v>
      </c>
      <c r="I671" s="37">
        <f ca="1">IFERROR(__xludf.DUMMYFUNCTION("IMPORTRANGE(""https://docs.google.com/spreadsheets/d/1KxicF4apzSqm0-jIpmueT4kyZtE-Cwn5zskl7GD4loQ/edit?usp=share_link"",""กำแพงเพชร!I671"")+IMPORTRANGE(""https://docs.google.com/spreadsheets/d/1ZNYWeiFoFA1K1U4xKWqRX29MBvEyRHXORjo734Gnq_c/edit?usp=share_li"&amp;"nk"",""เชียงราย!I671"")
+IMPORTRANGE(""https://docs.google.com/spreadsheets/d/1Jgv0Y7YlHDtsiDawwp-uvifEJ8HVaSn0k2aGHG8-hwM/edit?usp=share_link"",""เชียงใหม่!I671"")+IMPORTRANGE(""https://docs.google.com/spreadsheets/d/1JWG2rZePOz9pe-f-ObA-yDr0VoOX2kSb0qIi"&amp;"x2mTUo8/edit?usp=share_link"",""ตาก!I671"")+IMPORTRANGE(""https://docs.google.com/spreadsheets/d/10nSRjK08hx8Y6HgSOQKNw81lyY46Zc7U_Cj72hBMp9U/edit?usp=share_link"",""นครสวรรค์!I671"")+IMPORTRANGE(""https://docs.google.com/spreadsheets/d/1gFVb7qd7amutrIxAA"&amp;"oM7lcy35hllxznovot8lyOfvDo/edit?usp=share_link"",""น่าน!I671"")+IMPORTRANGE(""https://docs.google.com/spreadsheets/d/1K0Aa9s-6EuHE5M0FG1F9aHLXRCOV917xvycTdLdct0w/edit?usp=share_link"",""พะเยา!I671"")+IMPORTRANGE(""https://docs.google.com/spreadsheets/d/1Y"&amp;"9LPKx95PyL5OKy09d-KbKJSuuEZCFdkhYjwC0XQjBA/edit?usp=share_link"",""พิจิตร!I671"")+IMPORTRANGE(""https://docs.google.com/spreadsheets/d/16OMuOwy2eVqZcYWOouQtTpa8X1L23h4660uVHc0C8os/edit?usp=share_link"",""พิษณุโลก!I671"")+IMPORTRANGE(""https://docs.google."&amp;"com/spreadsheets/d/1GfgTldLG6k77HXaMQzaafODklYuucJZQNs_GAPEfZyY/edit?usp=share_link"",""เพชรบูรณ์!I671"")+IMPORTRANGE(""https://docs.google.com/spreadsheets/d/1gvTMYAnm7v1yG1BKWFtr0DnaTsq59oW9dwWvFgq6hs0/edit?usp=share_link"",""แพร่!I671"")+IMPORTRANGE("""&amp;"https://docs.google.com/spreadsheets/d/1Wbcosgy-Xa1xXUArJSOenub6EfZHUSzc_bpJFWwQUf0/edit?usp=share_link"",""แม่ฮ่องสอน!I671"")+IMPORTRANGE(""https://docs.google.com/spreadsheets/d/1p7ERhsr0qZeSn-KSOdeHS9r0heI-lHtkcn2OH7hP0jQ/edit?usp=share_link"",""ลำปาง!"&amp;"I671"")+IMPORTRANGE(""https://docs.google.com/spreadsheets/d/1-uUXvimVhiU2U0bMN-xi2te0tS4X7DI2GLPnMjzl8cA/edit?usp=share_link"",""ลำพูน!I671"")+IMPORTRANGE(""https://docs.google.com/spreadsheets/d/17HrOaa5pBUI1onckFfumXB8xlg35qb2uBAFfF1D-Myo/edit?usp=shar"&amp;"e_link"",""สุโขทัย!I671"")+IMPORTRANGE(""https://docs.google.com/spreadsheets/d/1ubs5cl16eYL9gHbdHTJtmtYb9MGzHBs7CAphn8kNCgM/edit?usp=share_link"",""อุตรดิตถ์!I671"")+IMPORTRANGE(""https://docs.google.com/spreadsheets/d/1kII0BjS6CtVrBvI8IrytgPdxDrlyQDyigz"&amp;"MsohRtDMs/edit?usp=share_link"",""อุทัยธานี!I671"")
"),46)</f>
        <v>46</v>
      </c>
      <c r="J671" s="183">
        <f ca="1">IFERROR(__xludf.DUMMYFUNCTION("IMPORTRANGE(""https://docs.google.com/spreadsheets/d/1KxicF4apzSqm0-jIpmueT4kyZtE-Cwn5zskl7GD4loQ/edit?usp=share_link"",""กำแพงเพชร!J671"")+IMPORTRANGE(""https://docs.google.com/spreadsheets/d/1ZNYWeiFoFA1K1U4xKWqRX29MBvEyRHXORjo734Gnq_c/edit?usp=share_li"&amp;"nk"",""เชียงราย!J671"")
+IMPORTRANGE(""https://docs.google.com/spreadsheets/d/1Jgv0Y7YlHDtsiDawwp-uvifEJ8HVaSn0k2aGHG8-hwM/edit?usp=share_link"",""เชียงใหม่!J671"")+IMPORTRANGE(""https://docs.google.com/spreadsheets/d/1JWG2rZePOz9pe-f-ObA-yDr0VoOX2kSb0qIi"&amp;"x2mTUo8/edit?usp=share_link"",""ตาก!J671"")+IMPORTRANGE(""https://docs.google.com/spreadsheets/d/10nSRjK08hx8Y6HgSOQKNw81lyY46Zc7U_Cj72hBMp9U/edit?usp=share_link"",""นครสวรรค์!J671"")+IMPORTRANGE(""https://docs.google.com/spreadsheets/d/1gFVb7qd7amutrIxAA"&amp;"oM7lcy35hllxznovot8lyOfvDo/edit?usp=share_link"",""น่าน!J671"")+IMPORTRANGE(""https://docs.google.com/spreadsheets/d/1K0Aa9s-6EuHE5M0FG1F9aHLXRCOV917xvycTdLdct0w/edit?usp=share_link"",""พะเยา!J671"")+IMPORTRANGE(""https://docs.google.com/spreadsheets/d/1Y"&amp;"9LPKx95PyL5OKy09d-KbKJSuuEZCFdkhYjwC0XQjBA/edit?usp=share_link"",""พิจิตร!J671"")+IMPORTRANGE(""https://docs.google.com/spreadsheets/d/16OMuOwy2eVqZcYWOouQtTpa8X1L23h4660uVHc0C8os/edit?usp=share_link"",""พิษณุโลก!J671"")+IMPORTRANGE(""https://docs.google."&amp;"com/spreadsheets/d/1GfgTldLG6k77HXaMQzaafODklYuucJZQNs_GAPEfZyY/edit?usp=share_link"",""เพชรบูรณ์!J671"")+IMPORTRANGE(""https://docs.google.com/spreadsheets/d/1gvTMYAnm7v1yG1BKWFtr0DnaTsq59oW9dwWvFgq6hs0/edit?usp=share_link"",""แพร่!J671"")+IMPORTRANGE("""&amp;"https://docs.google.com/spreadsheets/d/1Wbcosgy-Xa1xXUArJSOenub6EfZHUSzc_bpJFWwQUf0/edit?usp=share_link"",""แม่ฮ่องสอน!J671"")+IMPORTRANGE(""https://docs.google.com/spreadsheets/d/1p7ERhsr0qZeSn-KSOdeHS9r0heI-lHtkcn2OH7hP0jQ/edit?usp=share_link"",""ลำปาง!"&amp;"J671"")+IMPORTRANGE(""https://docs.google.com/spreadsheets/d/1-uUXvimVhiU2U0bMN-xi2te0tS4X7DI2GLPnMjzl8cA/edit?usp=share_link"",""ลำพูน!J671"")+IMPORTRANGE(""https://docs.google.com/spreadsheets/d/17HrOaa5pBUI1onckFfumXB8xlg35qb2uBAFfF1D-Myo/edit?usp=shar"&amp;"e_link"",""สุโขทัย!J671"")+IMPORTRANGE(""https://docs.google.com/spreadsheets/d/1ubs5cl16eYL9gHbdHTJtmtYb9MGzHBs7CAphn8kNCgM/edit?usp=share_link"",""อุตรดิตถ์!J671"")+IMPORTRANGE(""https://docs.google.com/spreadsheets/d/1kII0BjS6CtVrBvI8IrytgPdxDrlyQDyigz"&amp;"MsohRtDMs/edit?usp=share_link"",""อุทัยธานี!J671"")
"),42)</f>
        <v>42</v>
      </c>
      <c r="K671" s="38">
        <f ca="1">IF(I$671&gt;0,J671*100/I$671,0)</f>
        <v>91.304347826086953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74"/>
      <c r="C672" s="574"/>
      <c r="D672" s="574"/>
      <c r="E672" s="187" t="s">
        <v>283</v>
      </c>
      <c r="F672" s="586"/>
      <c r="G672" s="175"/>
      <c r="H672" s="182" t="s">
        <v>46</v>
      </c>
      <c r="I672" s="37"/>
      <c r="J672" s="183">
        <f ca="1">IFERROR(__xludf.DUMMYFUNCTION("IMPORTRANGE(""https://docs.google.com/spreadsheets/d/1KxicF4apzSqm0-jIpmueT4kyZtE-Cwn5zskl7GD4loQ/edit?usp=share_link"",""กำแพงเพชร!J672"")+IMPORTRANGE(""https://docs.google.com/spreadsheets/d/1ZNYWeiFoFA1K1U4xKWqRX29MBvEyRHXORjo734Gnq_c/edit?usp=share_li"&amp;"nk"",""เชียงราย!J672"")
+IMPORTRANGE(""https://docs.google.com/spreadsheets/d/1Jgv0Y7YlHDtsiDawwp-uvifEJ8HVaSn0k2aGHG8-hwM/edit?usp=share_link"",""เชียงใหม่!J672"")+IMPORTRANGE(""https://docs.google.com/spreadsheets/d/1JWG2rZePOz9pe-f-ObA-yDr0VoOX2kSb0qIi"&amp;"x2mTUo8/edit?usp=share_link"",""ตาก!J672"")+IMPORTRANGE(""https://docs.google.com/spreadsheets/d/10nSRjK08hx8Y6HgSOQKNw81lyY46Zc7U_Cj72hBMp9U/edit?usp=share_link"",""นครสวรรค์!J672"")+IMPORTRANGE(""https://docs.google.com/spreadsheets/d/1gFVb7qd7amutrIxAA"&amp;"oM7lcy35hllxznovot8lyOfvDo/edit?usp=share_link"",""น่าน!J672"")+IMPORTRANGE(""https://docs.google.com/spreadsheets/d/1K0Aa9s-6EuHE5M0FG1F9aHLXRCOV917xvycTdLdct0w/edit?usp=share_link"",""พะเยา!J672"")+IMPORTRANGE(""https://docs.google.com/spreadsheets/d/1Y"&amp;"9LPKx95PyL5OKy09d-KbKJSuuEZCFdkhYjwC0XQjBA/edit?usp=share_link"",""พิจิตร!J672"")+IMPORTRANGE(""https://docs.google.com/spreadsheets/d/16OMuOwy2eVqZcYWOouQtTpa8X1L23h4660uVHc0C8os/edit?usp=share_link"",""พิษณุโลก!J672"")+IMPORTRANGE(""https://docs.google."&amp;"com/spreadsheets/d/1GfgTldLG6k77HXaMQzaafODklYuucJZQNs_GAPEfZyY/edit?usp=share_link"",""เพชรบูรณ์!J672"")+IMPORTRANGE(""https://docs.google.com/spreadsheets/d/1gvTMYAnm7v1yG1BKWFtr0DnaTsq59oW9dwWvFgq6hs0/edit?usp=share_link"",""แพร่!J672"")+IMPORTRANGE("""&amp;"https://docs.google.com/spreadsheets/d/1Wbcosgy-Xa1xXUArJSOenub6EfZHUSzc_bpJFWwQUf0/edit?usp=share_link"",""แม่ฮ่องสอน!J672"")+IMPORTRANGE(""https://docs.google.com/spreadsheets/d/1p7ERhsr0qZeSn-KSOdeHS9r0heI-lHtkcn2OH7hP0jQ/edit?usp=share_link"",""ลำปาง!"&amp;"J672"")+IMPORTRANGE(""https://docs.google.com/spreadsheets/d/1-uUXvimVhiU2U0bMN-xi2te0tS4X7DI2GLPnMjzl8cA/edit?usp=share_link"",""ลำพูน!J672"")+IMPORTRANGE(""https://docs.google.com/spreadsheets/d/17HrOaa5pBUI1onckFfumXB8xlg35qb2uBAFfF1D-Myo/edit?usp=shar"&amp;"e_link"",""สุโขทัย!J672"")+IMPORTRANGE(""https://docs.google.com/spreadsheets/d/1ubs5cl16eYL9gHbdHTJtmtYb9MGzHBs7CAphn8kNCgM/edit?usp=share_link"",""อุตรดิตถ์!J672"")+IMPORTRANGE(""https://docs.google.com/spreadsheets/d/1kII0BjS6CtVrBvI8IrytgPdxDrlyQDyigz"&amp;"MsohRtDMs/edit?usp=share_link"",""อุทัยธานี!J672"")
"),1446.95)</f>
        <v>1446.95</v>
      </c>
      <c r="K672" s="38">
        <f t="shared" ref="K672:K675" ca="1" si="321">IF(I$669&gt;0,J672*100/I$669,0)</f>
        <v>131.54090909090908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74"/>
      <c r="C673" s="574"/>
      <c r="D673" s="574"/>
      <c r="E673" s="187" t="s">
        <v>284</v>
      </c>
      <c r="F673" s="586"/>
      <c r="G673" s="175"/>
      <c r="H673" s="182" t="s">
        <v>46</v>
      </c>
      <c r="I673" s="37"/>
      <c r="J673" s="183">
        <f ca="1">IFERROR(__xludf.DUMMYFUNCTION("IMPORTRANGE(""https://docs.google.com/spreadsheets/d/1KxicF4apzSqm0-jIpmueT4kyZtE-Cwn5zskl7GD4loQ/edit?usp=share_link"",""กำแพงเพชร!J673"")+IMPORTRANGE(""https://docs.google.com/spreadsheets/d/1ZNYWeiFoFA1K1U4xKWqRX29MBvEyRHXORjo734Gnq_c/edit?usp=share_li"&amp;"nk"",""เชียงราย!J673"")
+IMPORTRANGE(""https://docs.google.com/spreadsheets/d/1Jgv0Y7YlHDtsiDawwp-uvifEJ8HVaSn0k2aGHG8-hwM/edit?usp=share_link"",""เชียงใหม่!J673"")+IMPORTRANGE(""https://docs.google.com/spreadsheets/d/1JWG2rZePOz9pe-f-ObA-yDr0VoOX2kSb0qIi"&amp;"x2mTUo8/edit?usp=share_link"",""ตาก!J673"")+IMPORTRANGE(""https://docs.google.com/spreadsheets/d/10nSRjK08hx8Y6HgSOQKNw81lyY46Zc7U_Cj72hBMp9U/edit?usp=share_link"",""นครสวรรค์!J673"")+IMPORTRANGE(""https://docs.google.com/spreadsheets/d/1gFVb7qd7amutrIxAA"&amp;"oM7lcy35hllxznovot8lyOfvDo/edit?usp=share_link"",""น่าน!J673"")+IMPORTRANGE(""https://docs.google.com/spreadsheets/d/1K0Aa9s-6EuHE5M0FG1F9aHLXRCOV917xvycTdLdct0w/edit?usp=share_link"",""พะเยา!J673"")+IMPORTRANGE(""https://docs.google.com/spreadsheets/d/1Y"&amp;"9LPKx95PyL5OKy09d-KbKJSuuEZCFdkhYjwC0XQjBA/edit?usp=share_link"",""พิจิตร!J673"")+IMPORTRANGE(""https://docs.google.com/spreadsheets/d/16OMuOwy2eVqZcYWOouQtTpa8X1L23h4660uVHc0C8os/edit?usp=share_link"",""พิษณุโลก!J673"")+IMPORTRANGE(""https://docs.google."&amp;"com/spreadsheets/d/1GfgTldLG6k77HXaMQzaafODklYuucJZQNs_GAPEfZyY/edit?usp=share_link"",""เพชรบูรณ์!J673"")+IMPORTRANGE(""https://docs.google.com/spreadsheets/d/1gvTMYAnm7v1yG1BKWFtr0DnaTsq59oW9dwWvFgq6hs0/edit?usp=share_link"",""แพร่!J673"")+IMPORTRANGE("""&amp;"https://docs.google.com/spreadsheets/d/1Wbcosgy-Xa1xXUArJSOenub6EfZHUSzc_bpJFWwQUf0/edit?usp=share_link"",""แม่ฮ่องสอน!J673"")+IMPORTRANGE(""https://docs.google.com/spreadsheets/d/1p7ERhsr0qZeSn-KSOdeHS9r0heI-lHtkcn2OH7hP0jQ/edit?usp=share_link"",""ลำปาง!"&amp;"J673"")+IMPORTRANGE(""https://docs.google.com/spreadsheets/d/1-uUXvimVhiU2U0bMN-xi2te0tS4X7DI2GLPnMjzl8cA/edit?usp=share_link"",""ลำพูน!J673"")+IMPORTRANGE(""https://docs.google.com/spreadsheets/d/17HrOaa5pBUI1onckFfumXB8xlg35qb2uBAFfF1D-Myo/edit?usp=shar"&amp;"e_link"",""สุโขทัย!J673"")+IMPORTRANGE(""https://docs.google.com/spreadsheets/d/1ubs5cl16eYL9gHbdHTJtmtYb9MGzHBs7CAphn8kNCgM/edit?usp=share_link"",""อุตรดิตถ์!J673"")+IMPORTRANGE(""https://docs.google.com/spreadsheets/d/1kII0BjS6CtVrBvI8IrytgPdxDrlyQDyigz"&amp;"MsohRtDMs/edit?usp=share_link"",""อุทัยธานี!J673"")
"),0)</f>
        <v>0</v>
      </c>
      <c r="K673" s="38">
        <f t="shared" ca="1" si="32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74"/>
      <c r="C674" s="574"/>
      <c r="D674" s="574"/>
      <c r="E674" s="187" t="s">
        <v>285</v>
      </c>
      <c r="F674" s="586"/>
      <c r="G674" s="175"/>
      <c r="H674" s="182" t="s">
        <v>46</v>
      </c>
      <c r="I674" s="37"/>
      <c r="J674" s="183">
        <f ca="1">IFERROR(__xludf.DUMMYFUNCTION("IMPORTRANGE(""https://docs.google.com/spreadsheets/d/1KxicF4apzSqm0-jIpmueT4kyZtE-Cwn5zskl7GD4loQ/edit?usp=share_link"",""กำแพงเพชร!J674"")+IMPORTRANGE(""https://docs.google.com/spreadsheets/d/1ZNYWeiFoFA1K1U4xKWqRX29MBvEyRHXORjo734Gnq_c/edit?usp=share_li"&amp;"nk"",""เชียงราย!J674"")
+IMPORTRANGE(""https://docs.google.com/spreadsheets/d/1Jgv0Y7YlHDtsiDawwp-uvifEJ8HVaSn0k2aGHG8-hwM/edit?usp=share_link"",""เชียงใหม่!J674"")+IMPORTRANGE(""https://docs.google.com/spreadsheets/d/1JWG2rZePOz9pe-f-ObA-yDr0VoOX2kSb0qIi"&amp;"x2mTUo8/edit?usp=share_link"",""ตาก!J674"")+IMPORTRANGE(""https://docs.google.com/spreadsheets/d/10nSRjK08hx8Y6HgSOQKNw81lyY46Zc7U_Cj72hBMp9U/edit?usp=share_link"",""นครสวรรค์!J674"")+IMPORTRANGE(""https://docs.google.com/spreadsheets/d/1gFVb7qd7amutrIxAA"&amp;"oM7lcy35hllxznovot8lyOfvDo/edit?usp=share_link"",""น่าน!J674"")+IMPORTRANGE(""https://docs.google.com/spreadsheets/d/1K0Aa9s-6EuHE5M0FG1F9aHLXRCOV917xvycTdLdct0w/edit?usp=share_link"",""พะเยา!J674"")+IMPORTRANGE(""https://docs.google.com/spreadsheets/d/1Y"&amp;"9LPKx95PyL5OKy09d-KbKJSuuEZCFdkhYjwC0XQjBA/edit?usp=share_link"",""พิจิตร!J674"")+IMPORTRANGE(""https://docs.google.com/spreadsheets/d/16OMuOwy2eVqZcYWOouQtTpa8X1L23h4660uVHc0C8os/edit?usp=share_link"",""พิษณุโลก!J674"")+IMPORTRANGE(""https://docs.google."&amp;"com/spreadsheets/d/1GfgTldLG6k77HXaMQzaafODklYuucJZQNs_GAPEfZyY/edit?usp=share_link"",""เพชรบูรณ์!J674"")+IMPORTRANGE(""https://docs.google.com/spreadsheets/d/1gvTMYAnm7v1yG1BKWFtr0DnaTsq59oW9dwWvFgq6hs0/edit?usp=share_link"",""แพร่!J674"")+IMPORTRANGE("""&amp;"https://docs.google.com/spreadsheets/d/1Wbcosgy-Xa1xXUArJSOenub6EfZHUSzc_bpJFWwQUf0/edit?usp=share_link"",""แม่ฮ่องสอน!J674"")+IMPORTRANGE(""https://docs.google.com/spreadsheets/d/1p7ERhsr0qZeSn-KSOdeHS9r0heI-lHtkcn2OH7hP0jQ/edit?usp=share_link"",""ลำปาง!"&amp;"J674"")+IMPORTRANGE(""https://docs.google.com/spreadsheets/d/1-uUXvimVhiU2U0bMN-xi2te0tS4X7DI2GLPnMjzl8cA/edit?usp=share_link"",""ลำพูน!J674"")+IMPORTRANGE(""https://docs.google.com/spreadsheets/d/17HrOaa5pBUI1onckFfumXB8xlg35qb2uBAFfF1D-Myo/edit?usp=shar"&amp;"e_link"",""สุโขทัย!J674"")+IMPORTRANGE(""https://docs.google.com/spreadsheets/d/1ubs5cl16eYL9gHbdHTJtmtYb9MGzHBs7CAphn8kNCgM/edit?usp=share_link"",""อุตรดิตถ์!J674"")+IMPORTRANGE(""https://docs.google.com/spreadsheets/d/1kII0BjS6CtVrBvI8IrytgPdxDrlyQDyigz"&amp;"MsohRtDMs/edit?usp=share_link"",""อุทัยธานี!J674"")
"),0)</f>
        <v>0</v>
      </c>
      <c r="K674" s="38">
        <f t="shared" ca="1" si="32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74"/>
      <c r="C675" s="574"/>
      <c r="D675" s="574"/>
      <c r="E675" s="187" t="s">
        <v>286</v>
      </c>
      <c r="F675" s="586"/>
      <c r="G675" s="175"/>
      <c r="H675" s="182" t="s">
        <v>46</v>
      </c>
      <c r="I675" s="37"/>
      <c r="J675" s="194">
        <f ca="1">J676+J677</f>
        <v>0</v>
      </c>
      <c r="K675" s="195">
        <f t="shared" ca="1" si="32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74"/>
      <c r="C676" s="574"/>
      <c r="D676" s="574"/>
      <c r="E676" s="586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KxicF4apzSqm0-jIpmueT4kyZtE-Cwn5zskl7GD4loQ/edit?usp=share_link"",""กำแพงเพชร!J676"")+IMPORTRANGE(""https://docs.google.com/spreadsheets/d/1ZNYWeiFoFA1K1U4xKWqRX29MBvEyRHXORjo734Gnq_c/edit?usp=share_li"&amp;"nk"",""เชียงราย!J676"")
+IMPORTRANGE(""https://docs.google.com/spreadsheets/d/1Jgv0Y7YlHDtsiDawwp-uvifEJ8HVaSn0k2aGHG8-hwM/edit?usp=share_link"",""เชียงใหม่!J676"")+IMPORTRANGE(""https://docs.google.com/spreadsheets/d/1JWG2rZePOz9pe-f-ObA-yDr0VoOX2kSb0qIi"&amp;"x2mTUo8/edit?usp=share_link"",""ตาก!J676"")+IMPORTRANGE(""https://docs.google.com/spreadsheets/d/10nSRjK08hx8Y6HgSOQKNw81lyY46Zc7U_Cj72hBMp9U/edit?usp=share_link"",""นครสวรรค์!J676"")+IMPORTRANGE(""https://docs.google.com/spreadsheets/d/1gFVb7qd7amutrIxAA"&amp;"oM7lcy35hllxznovot8lyOfvDo/edit?usp=share_link"",""น่าน!J676"")+IMPORTRANGE(""https://docs.google.com/spreadsheets/d/1K0Aa9s-6EuHE5M0FG1F9aHLXRCOV917xvycTdLdct0w/edit?usp=share_link"",""พะเยา!J676"")+IMPORTRANGE(""https://docs.google.com/spreadsheets/d/1Y"&amp;"9LPKx95PyL5OKy09d-KbKJSuuEZCFdkhYjwC0XQjBA/edit?usp=share_link"",""พิจิตร!J676"")+IMPORTRANGE(""https://docs.google.com/spreadsheets/d/16OMuOwy2eVqZcYWOouQtTpa8X1L23h4660uVHc0C8os/edit?usp=share_link"",""พิษณุโลก!J676"")+IMPORTRANGE(""https://docs.google."&amp;"com/spreadsheets/d/1GfgTldLG6k77HXaMQzaafODklYuucJZQNs_GAPEfZyY/edit?usp=share_link"",""เพชรบูรณ์!J676"")+IMPORTRANGE(""https://docs.google.com/spreadsheets/d/1gvTMYAnm7v1yG1BKWFtr0DnaTsq59oW9dwWvFgq6hs0/edit?usp=share_link"",""แพร่!J676"")+IMPORTRANGE("""&amp;"https://docs.google.com/spreadsheets/d/1Wbcosgy-Xa1xXUArJSOenub6EfZHUSzc_bpJFWwQUf0/edit?usp=share_link"",""แม่ฮ่องสอน!J676"")+IMPORTRANGE(""https://docs.google.com/spreadsheets/d/1p7ERhsr0qZeSn-KSOdeHS9r0heI-lHtkcn2OH7hP0jQ/edit?usp=share_link"",""ลำปาง!"&amp;"J676"")+IMPORTRANGE(""https://docs.google.com/spreadsheets/d/1-uUXvimVhiU2U0bMN-xi2te0tS4X7DI2GLPnMjzl8cA/edit?usp=share_link"",""ลำพูน!J676"")+IMPORTRANGE(""https://docs.google.com/spreadsheets/d/17HrOaa5pBUI1onckFfumXB8xlg35qb2uBAFfF1D-Myo/edit?usp=shar"&amp;"e_link"",""สุโขทัย!J676"")+IMPORTRANGE(""https://docs.google.com/spreadsheets/d/1ubs5cl16eYL9gHbdHTJtmtYb9MGzHBs7CAphn8kNCgM/edit?usp=share_link"",""อุตรดิตถ์!J676"")+IMPORTRANGE(""https://docs.google.com/spreadsheets/d/1kII0BjS6CtVrBvI8IrytgPdxDrlyQDyigz"&amp;"MsohRtDMs/edit?usp=share_link"",""อุทัยธานี!J676"")
"),0)</f>
        <v>0</v>
      </c>
      <c r="K676" s="38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74"/>
      <c r="C677" s="574"/>
      <c r="D677" s="574"/>
      <c r="E677" s="586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KxicF4apzSqm0-jIpmueT4kyZtE-Cwn5zskl7GD4loQ/edit?usp=share_link"",""กำแพงเพชร!J677"")+IMPORTRANGE(""https://docs.google.com/spreadsheets/d/1ZNYWeiFoFA1K1U4xKWqRX29MBvEyRHXORjo734Gnq_c/edit?usp=share_li"&amp;"nk"",""เชียงราย!J677"")
+IMPORTRANGE(""https://docs.google.com/spreadsheets/d/1Jgv0Y7YlHDtsiDawwp-uvifEJ8HVaSn0k2aGHG8-hwM/edit?usp=share_link"",""เชียงใหม่!J677"")+IMPORTRANGE(""https://docs.google.com/spreadsheets/d/1JWG2rZePOz9pe-f-ObA-yDr0VoOX2kSb0qIi"&amp;"x2mTUo8/edit?usp=share_link"",""ตาก!J677"")+IMPORTRANGE(""https://docs.google.com/spreadsheets/d/10nSRjK08hx8Y6HgSOQKNw81lyY46Zc7U_Cj72hBMp9U/edit?usp=share_link"",""นครสวรรค์!J677"")+IMPORTRANGE(""https://docs.google.com/spreadsheets/d/1gFVb7qd7amutrIxAA"&amp;"oM7lcy35hllxznovot8lyOfvDo/edit?usp=share_link"",""น่าน!J677"")+IMPORTRANGE(""https://docs.google.com/spreadsheets/d/1K0Aa9s-6EuHE5M0FG1F9aHLXRCOV917xvycTdLdct0w/edit?usp=share_link"",""พะเยา!J677"")+IMPORTRANGE(""https://docs.google.com/spreadsheets/d/1Y"&amp;"9LPKx95PyL5OKy09d-KbKJSuuEZCFdkhYjwC0XQjBA/edit?usp=share_link"",""พิจิตร!J677"")+IMPORTRANGE(""https://docs.google.com/spreadsheets/d/16OMuOwy2eVqZcYWOouQtTpa8X1L23h4660uVHc0C8os/edit?usp=share_link"",""พิษณุโลก!J677"")+IMPORTRANGE(""https://docs.google."&amp;"com/spreadsheets/d/1GfgTldLG6k77HXaMQzaafODklYuucJZQNs_GAPEfZyY/edit?usp=share_link"",""เพชรบูรณ์!J677"")+IMPORTRANGE(""https://docs.google.com/spreadsheets/d/1gvTMYAnm7v1yG1BKWFtr0DnaTsq59oW9dwWvFgq6hs0/edit?usp=share_link"",""แพร่!J677"")+IMPORTRANGE("""&amp;"https://docs.google.com/spreadsheets/d/1Wbcosgy-Xa1xXUArJSOenub6EfZHUSzc_bpJFWwQUf0/edit?usp=share_link"",""แม่ฮ่องสอน!J677"")+IMPORTRANGE(""https://docs.google.com/spreadsheets/d/1p7ERhsr0qZeSn-KSOdeHS9r0heI-lHtkcn2OH7hP0jQ/edit?usp=share_link"",""ลำปาง!"&amp;"J677"")+IMPORTRANGE(""https://docs.google.com/spreadsheets/d/1-uUXvimVhiU2U0bMN-xi2te0tS4X7DI2GLPnMjzl8cA/edit?usp=share_link"",""ลำพูน!J677"")+IMPORTRANGE(""https://docs.google.com/spreadsheets/d/17HrOaa5pBUI1onckFfumXB8xlg35qb2uBAFfF1D-Myo/edit?usp=shar"&amp;"e_link"",""สุโขทัย!J677"")+IMPORTRANGE(""https://docs.google.com/spreadsheets/d/1ubs5cl16eYL9gHbdHTJtmtYb9MGzHBs7CAphn8kNCgM/edit?usp=share_link"",""อุตรดิตถ์!J677"")+IMPORTRANGE(""https://docs.google.com/spreadsheets/d/1kII0BjS6CtVrBvI8IrytgPdxDrlyQDyigz"&amp;"MsohRtDMs/edit?usp=share_link"",""อุทัยธานี!J677"")
"),0)</f>
        <v>0</v>
      </c>
      <c r="K677" s="38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74"/>
      <c r="C678" s="574"/>
      <c r="D678" s="585" t="s">
        <v>289</v>
      </c>
      <c r="E678" s="586"/>
      <c r="F678" s="586"/>
      <c r="G678" s="175"/>
      <c r="H678" s="182" t="s">
        <v>46</v>
      </c>
      <c r="I678" s="194">
        <f ca="1">IFERROR(__xludf.DUMMYFUNCTION("IMPORTRANGE(""https://docs.google.com/spreadsheets/d/1KxicF4apzSqm0-jIpmueT4kyZtE-Cwn5zskl7GD4loQ/edit?usp=share_link"",""กำแพงเพชร!I678"")+IMPORTRANGE(""https://docs.google.com/spreadsheets/d/1ZNYWeiFoFA1K1U4xKWqRX29MBvEyRHXORjo734Gnq_c/edit?usp=share_li"&amp;"nk"",""เชียงราย!I678"")
+IMPORTRANGE(""https://docs.google.com/spreadsheets/d/1Jgv0Y7YlHDtsiDawwp-uvifEJ8HVaSn0k2aGHG8-hwM/edit?usp=share_link"",""เชียงใหม่!I678"")+IMPORTRANGE(""https://docs.google.com/spreadsheets/d/1JWG2rZePOz9pe-f-ObA-yDr0VoOX2kSb0qIi"&amp;"x2mTUo8/edit?usp=share_link"",""ตาก!I678"")+IMPORTRANGE(""https://docs.google.com/spreadsheets/d/10nSRjK08hx8Y6HgSOQKNw81lyY46Zc7U_Cj72hBMp9U/edit?usp=share_link"",""นครสวรรค์!I678"")+IMPORTRANGE(""https://docs.google.com/spreadsheets/d/1gFVb7qd7amutrIxAA"&amp;"oM7lcy35hllxznovot8lyOfvDo/edit?usp=share_link"",""น่าน!I678"")+IMPORTRANGE(""https://docs.google.com/spreadsheets/d/1K0Aa9s-6EuHE5M0FG1F9aHLXRCOV917xvycTdLdct0w/edit?usp=share_link"",""พะเยา!I678"")+IMPORTRANGE(""https://docs.google.com/spreadsheets/d/1Y"&amp;"9LPKx95PyL5OKy09d-KbKJSuuEZCFdkhYjwC0XQjBA/edit?usp=share_link"",""พิจิตร!I678"")+IMPORTRANGE(""https://docs.google.com/spreadsheets/d/16OMuOwy2eVqZcYWOouQtTpa8X1L23h4660uVHc0C8os/edit?usp=share_link"",""พิษณุโลก!I678"")+IMPORTRANGE(""https://docs.google."&amp;"com/spreadsheets/d/1GfgTldLG6k77HXaMQzaafODklYuucJZQNs_GAPEfZyY/edit?usp=share_link"",""เพชรบูรณ์!I678"")+IMPORTRANGE(""https://docs.google.com/spreadsheets/d/1gvTMYAnm7v1yG1BKWFtr0DnaTsq59oW9dwWvFgq6hs0/edit?usp=share_link"",""แพร่!I678"")+IMPORTRANGE("""&amp;"https://docs.google.com/spreadsheets/d/1Wbcosgy-Xa1xXUArJSOenub6EfZHUSzc_bpJFWwQUf0/edit?usp=share_link"",""แม่ฮ่องสอน!I678"")+IMPORTRANGE(""https://docs.google.com/spreadsheets/d/1p7ERhsr0qZeSn-KSOdeHS9r0heI-lHtkcn2OH7hP0jQ/edit?usp=share_link"",""ลำปาง!"&amp;"I678"")+IMPORTRANGE(""https://docs.google.com/spreadsheets/d/1-uUXvimVhiU2U0bMN-xi2te0tS4X7DI2GLPnMjzl8cA/edit?usp=share_link"",""ลำพูน!I678"")+IMPORTRANGE(""https://docs.google.com/spreadsheets/d/17HrOaa5pBUI1onckFfumXB8xlg35qb2uBAFfF1D-Myo/edit?usp=shar"&amp;"e_link"",""สุโขทัย!I678"")+IMPORTRANGE(""https://docs.google.com/spreadsheets/d/1ubs5cl16eYL9gHbdHTJtmtYb9MGzHBs7CAphn8kNCgM/edit?usp=share_link"",""อุตรดิตถ์!I678"")+IMPORTRANGE(""https://docs.google.com/spreadsheets/d/1kII0BjS6CtVrBvI8IrytgPdxDrlyQDyigz"&amp;"MsohRtDMs/edit?usp=share_link"",""อุทัย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74"/>
      <c r="C679" s="574"/>
      <c r="D679" s="574"/>
      <c r="E679" s="187" t="s">
        <v>290</v>
      </c>
      <c r="F679" s="586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74"/>
      <c r="C680" s="574"/>
      <c r="D680" s="574"/>
      <c r="E680" s="586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KxicF4apzSqm0-jIpmueT4kyZtE-Cwn5zskl7GD4loQ/edit?usp=share_link"",""กำแพงเพชร!J680"")+IMPORTRANGE(""https://docs.google.com/spreadsheets/d/1ZNYWeiFoFA1K1U4xKWqRX29MBvEyRHXORjo734Gnq_c/edit?usp=share_li"&amp;"nk"",""เชียงราย!J680"")
+IMPORTRANGE(""https://docs.google.com/spreadsheets/d/1Jgv0Y7YlHDtsiDawwp-uvifEJ8HVaSn0k2aGHG8-hwM/edit?usp=share_link"",""เชียงใหม่!J680"")+IMPORTRANGE(""https://docs.google.com/spreadsheets/d/1JWG2rZePOz9pe-f-ObA-yDr0VoOX2kSb0qIi"&amp;"x2mTUo8/edit?usp=share_link"",""ตาก!J680"")+IMPORTRANGE(""https://docs.google.com/spreadsheets/d/10nSRjK08hx8Y6HgSOQKNw81lyY46Zc7U_Cj72hBMp9U/edit?usp=share_link"",""นครสวรรค์!J680"")+IMPORTRANGE(""https://docs.google.com/spreadsheets/d/1gFVb7qd7amutrIxAA"&amp;"oM7lcy35hllxznovot8lyOfvDo/edit?usp=share_link"",""น่าน!J680"")+IMPORTRANGE(""https://docs.google.com/spreadsheets/d/1K0Aa9s-6EuHE5M0FG1F9aHLXRCOV917xvycTdLdct0w/edit?usp=share_link"",""พะเยา!J680"")+IMPORTRANGE(""https://docs.google.com/spreadsheets/d/1Y"&amp;"9LPKx95PyL5OKy09d-KbKJSuuEZCFdkhYjwC0XQjBA/edit?usp=share_link"",""พิจิตร!J680"")+IMPORTRANGE(""https://docs.google.com/spreadsheets/d/16OMuOwy2eVqZcYWOouQtTpa8X1L23h4660uVHc0C8os/edit?usp=share_link"",""พิษณุโลก!J680"")+IMPORTRANGE(""https://docs.google."&amp;"com/spreadsheets/d/1GfgTldLG6k77HXaMQzaafODklYuucJZQNs_GAPEfZyY/edit?usp=share_link"",""เพชรบูรณ์!J680"")+IMPORTRANGE(""https://docs.google.com/spreadsheets/d/1gvTMYAnm7v1yG1BKWFtr0DnaTsq59oW9dwWvFgq6hs0/edit?usp=share_link"",""แพร่!J680"")+IMPORTRANGE("""&amp;"https://docs.google.com/spreadsheets/d/1Wbcosgy-Xa1xXUArJSOenub6EfZHUSzc_bpJFWwQUf0/edit?usp=share_link"",""แม่ฮ่องสอน!J680"")+IMPORTRANGE(""https://docs.google.com/spreadsheets/d/1p7ERhsr0qZeSn-KSOdeHS9r0heI-lHtkcn2OH7hP0jQ/edit?usp=share_link"",""ลำปาง!"&amp;"J680"")+IMPORTRANGE(""https://docs.google.com/spreadsheets/d/1-uUXvimVhiU2U0bMN-xi2te0tS4X7DI2GLPnMjzl8cA/edit?usp=share_link"",""ลำพูน!J680"")+IMPORTRANGE(""https://docs.google.com/spreadsheets/d/17HrOaa5pBUI1onckFfumXB8xlg35qb2uBAFfF1D-Myo/edit?usp=shar"&amp;"e_link"",""สุโขทัย!J680"")+IMPORTRANGE(""https://docs.google.com/spreadsheets/d/1ubs5cl16eYL9gHbdHTJtmtYb9MGzHBs7CAphn8kNCgM/edit?usp=share_link"",""อุตรดิตถ์!J680"")+IMPORTRANGE(""https://docs.google.com/spreadsheets/d/1kII0BjS6CtVrBvI8IrytgPdxDrlyQDyigz"&amp;"MsohRtDMs/edit?usp=share_link"",""อุทัยธานี!J680"")
"),0)</f>
        <v>0</v>
      </c>
      <c r="K680" s="38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74"/>
      <c r="C681" s="574"/>
      <c r="D681" s="574"/>
      <c r="E681" s="586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KxicF4apzSqm0-jIpmueT4kyZtE-Cwn5zskl7GD4loQ/edit?usp=share_link"",""กำแพงเพชร!J681"")+IMPORTRANGE(""https://docs.google.com/spreadsheets/d/1ZNYWeiFoFA1K1U4xKWqRX29MBvEyRHXORjo734Gnq_c/edit?usp=share_li"&amp;"nk"",""เชียงราย!J681"")
+IMPORTRANGE(""https://docs.google.com/spreadsheets/d/1Jgv0Y7YlHDtsiDawwp-uvifEJ8HVaSn0k2aGHG8-hwM/edit?usp=share_link"",""เชียงใหม่!J681"")+IMPORTRANGE(""https://docs.google.com/spreadsheets/d/1JWG2rZePOz9pe-f-ObA-yDr0VoOX2kSb0qIi"&amp;"x2mTUo8/edit?usp=share_link"",""ตาก!J681"")+IMPORTRANGE(""https://docs.google.com/spreadsheets/d/10nSRjK08hx8Y6HgSOQKNw81lyY46Zc7U_Cj72hBMp9U/edit?usp=share_link"",""นครสวรรค์!J681"")+IMPORTRANGE(""https://docs.google.com/spreadsheets/d/1gFVb7qd7amutrIxAA"&amp;"oM7lcy35hllxznovot8lyOfvDo/edit?usp=share_link"",""น่าน!J681"")+IMPORTRANGE(""https://docs.google.com/spreadsheets/d/1K0Aa9s-6EuHE5M0FG1F9aHLXRCOV917xvycTdLdct0w/edit?usp=share_link"",""พะเยา!J681"")+IMPORTRANGE(""https://docs.google.com/spreadsheets/d/1Y"&amp;"9LPKx95PyL5OKy09d-KbKJSuuEZCFdkhYjwC0XQjBA/edit?usp=share_link"",""พิจิตร!J681"")+IMPORTRANGE(""https://docs.google.com/spreadsheets/d/16OMuOwy2eVqZcYWOouQtTpa8X1L23h4660uVHc0C8os/edit?usp=share_link"",""พิษณุโลก!J681"")+IMPORTRANGE(""https://docs.google."&amp;"com/spreadsheets/d/1GfgTldLG6k77HXaMQzaafODklYuucJZQNs_GAPEfZyY/edit?usp=share_link"",""เพชรบูรณ์!J681"")+IMPORTRANGE(""https://docs.google.com/spreadsheets/d/1gvTMYAnm7v1yG1BKWFtr0DnaTsq59oW9dwWvFgq6hs0/edit?usp=share_link"",""แพร่!J681"")+IMPORTRANGE("""&amp;"https://docs.google.com/spreadsheets/d/1Wbcosgy-Xa1xXUArJSOenub6EfZHUSzc_bpJFWwQUf0/edit?usp=share_link"",""แม่ฮ่องสอน!J681"")+IMPORTRANGE(""https://docs.google.com/spreadsheets/d/1p7ERhsr0qZeSn-KSOdeHS9r0heI-lHtkcn2OH7hP0jQ/edit?usp=share_link"",""ลำปาง!"&amp;"J681"")+IMPORTRANGE(""https://docs.google.com/spreadsheets/d/1-uUXvimVhiU2U0bMN-xi2te0tS4X7DI2GLPnMjzl8cA/edit?usp=share_link"",""ลำพูน!J681"")+IMPORTRANGE(""https://docs.google.com/spreadsheets/d/17HrOaa5pBUI1onckFfumXB8xlg35qb2uBAFfF1D-Myo/edit?usp=shar"&amp;"e_link"",""สุโขทัย!J681"")+IMPORTRANGE(""https://docs.google.com/spreadsheets/d/1ubs5cl16eYL9gHbdHTJtmtYb9MGzHBs7CAphn8kNCgM/edit?usp=share_link"",""อุตรดิตถ์!J681"")+IMPORTRANGE(""https://docs.google.com/spreadsheets/d/1kII0BjS6CtVrBvI8IrytgPdxDrlyQDyigz"&amp;"MsohRtDMs/edit?usp=share_link"",""อุทัยธานี!J681"")
"),0)</f>
        <v>0</v>
      </c>
      <c r="K681" s="38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74"/>
      <c r="C682" s="574"/>
      <c r="D682" s="574"/>
      <c r="E682" s="187" t="s">
        <v>291</v>
      </c>
      <c r="F682" s="586"/>
      <c r="G682" s="175"/>
      <c r="H682" s="182" t="s">
        <v>46</v>
      </c>
      <c r="I682" s="37"/>
      <c r="J682" s="183">
        <f ca="1">IFERROR(__xludf.DUMMYFUNCTION("IMPORTRANGE(""https://docs.google.com/spreadsheets/d/1KxicF4apzSqm0-jIpmueT4kyZtE-Cwn5zskl7GD4loQ/edit?usp=share_link"",""กำแพงเพชร!J682"")+IMPORTRANGE(""https://docs.google.com/spreadsheets/d/1ZNYWeiFoFA1K1U4xKWqRX29MBvEyRHXORjo734Gnq_c/edit?usp=share_li"&amp;"nk"",""เชียงราย!J682"")
+IMPORTRANGE(""https://docs.google.com/spreadsheets/d/1Jgv0Y7YlHDtsiDawwp-uvifEJ8HVaSn0k2aGHG8-hwM/edit?usp=share_link"",""เชียงใหม่!J682"")+IMPORTRANGE(""https://docs.google.com/spreadsheets/d/1JWG2rZePOz9pe-f-ObA-yDr0VoOX2kSb0qIi"&amp;"x2mTUo8/edit?usp=share_link"",""ตาก!J682"")+IMPORTRANGE(""https://docs.google.com/spreadsheets/d/10nSRjK08hx8Y6HgSOQKNw81lyY46Zc7U_Cj72hBMp9U/edit?usp=share_link"",""นครสวรรค์!J682"")+IMPORTRANGE(""https://docs.google.com/spreadsheets/d/1gFVb7qd7amutrIxAA"&amp;"oM7lcy35hllxznovot8lyOfvDo/edit?usp=share_link"",""น่าน!J682"")+IMPORTRANGE(""https://docs.google.com/spreadsheets/d/1K0Aa9s-6EuHE5M0FG1F9aHLXRCOV917xvycTdLdct0w/edit?usp=share_link"",""พะเยา!J682"")+IMPORTRANGE(""https://docs.google.com/spreadsheets/d/1Y"&amp;"9LPKx95PyL5OKy09d-KbKJSuuEZCFdkhYjwC0XQjBA/edit?usp=share_link"",""พิจิตร!J682"")+IMPORTRANGE(""https://docs.google.com/spreadsheets/d/16OMuOwy2eVqZcYWOouQtTpa8X1L23h4660uVHc0C8os/edit?usp=share_link"",""พิษณุโลก!J682"")+IMPORTRANGE(""https://docs.google."&amp;"com/spreadsheets/d/1GfgTldLG6k77HXaMQzaafODklYuucJZQNs_GAPEfZyY/edit?usp=share_link"",""เพชรบูรณ์!J682"")+IMPORTRANGE(""https://docs.google.com/spreadsheets/d/1gvTMYAnm7v1yG1BKWFtr0DnaTsq59oW9dwWvFgq6hs0/edit?usp=share_link"",""แพร่!J682"")+IMPORTRANGE("""&amp;"https://docs.google.com/spreadsheets/d/1Wbcosgy-Xa1xXUArJSOenub6EfZHUSzc_bpJFWwQUf0/edit?usp=share_link"",""แม่ฮ่องสอน!J682"")+IMPORTRANGE(""https://docs.google.com/spreadsheets/d/1p7ERhsr0qZeSn-KSOdeHS9r0heI-lHtkcn2OH7hP0jQ/edit?usp=share_link"",""ลำปาง!"&amp;"J682"")+IMPORTRANGE(""https://docs.google.com/spreadsheets/d/1-uUXvimVhiU2U0bMN-xi2te0tS4X7DI2GLPnMjzl8cA/edit?usp=share_link"",""ลำพูน!J682"")+IMPORTRANGE(""https://docs.google.com/spreadsheets/d/17HrOaa5pBUI1onckFfumXB8xlg35qb2uBAFfF1D-Myo/edit?usp=shar"&amp;"e_link"",""สุโขทัย!J682"")+IMPORTRANGE(""https://docs.google.com/spreadsheets/d/1ubs5cl16eYL9gHbdHTJtmtYb9MGzHBs7CAphn8kNCgM/edit?usp=share_link"",""อุตรดิตถ์!J682"")+IMPORTRANGE(""https://docs.google.com/spreadsheets/d/1kII0BjS6CtVrBvI8IrytgPdxDrlyQDyigz"&amp;"MsohRtDMs/edit?usp=share_link"",""อุทัยธานี!J682"")
"),0)</f>
        <v>0</v>
      </c>
      <c r="K682" s="38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74"/>
      <c r="C683" s="574"/>
      <c r="D683" s="574"/>
      <c r="E683" s="586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KxicF4apzSqm0-jIpmueT4kyZtE-Cwn5zskl7GD4loQ/edit?usp=share_link"",""กำแพงเพชร!J683"")+IMPORTRANGE(""https://docs.google.com/spreadsheets/d/1ZNYWeiFoFA1K1U4xKWqRX29MBvEyRHXORjo734Gnq_c/edit?usp=share_li"&amp;"nk"",""เชียงราย!J683"")
+IMPORTRANGE(""https://docs.google.com/spreadsheets/d/1Jgv0Y7YlHDtsiDawwp-uvifEJ8HVaSn0k2aGHG8-hwM/edit?usp=share_link"",""เชียงใหม่!J683"")+IMPORTRANGE(""https://docs.google.com/spreadsheets/d/1JWG2rZePOz9pe-f-ObA-yDr0VoOX2kSb0qIi"&amp;"x2mTUo8/edit?usp=share_link"",""ตาก!J683"")+IMPORTRANGE(""https://docs.google.com/spreadsheets/d/10nSRjK08hx8Y6HgSOQKNw81lyY46Zc7U_Cj72hBMp9U/edit?usp=share_link"",""นครสวรรค์!J683"")+IMPORTRANGE(""https://docs.google.com/spreadsheets/d/1gFVb7qd7amutrIxAA"&amp;"oM7lcy35hllxznovot8lyOfvDo/edit?usp=share_link"",""น่าน!J683"")+IMPORTRANGE(""https://docs.google.com/spreadsheets/d/1K0Aa9s-6EuHE5M0FG1F9aHLXRCOV917xvycTdLdct0w/edit?usp=share_link"",""พะเยา!J683"")+IMPORTRANGE(""https://docs.google.com/spreadsheets/d/1Y"&amp;"9LPKx95PyL5OKy09d-KbKJSuuEZCFdkhYjwC0XQjBA/edit?usp=share_link"",""พิจิตร!J683"")+IMPORTRANGE(""https://docs.google.com/spreadsheets/d/16OMuOwy2eVqZcYWOouQtTpa8X1L23h4660uVHc0C8os/edit?usp=share_link"",""พิษณุโลก!J683"")+IMPORTRANGE(""https://docs.google."&amp;"com/spreadsheets/d/1GfgTldLG6k77HXaMQzaafODklYuucJZQNs_GAPEfZyY/edit?usp=share_link"",""เพชรบูรณ์!J683"")+IMPORTRANGE(""https://docs.google.com/spreadsheets/d/1gvTMYAnm7v1yG1BKWFtr0DnaTsq59oW9dwWvFgq6hs0/edit?usp=share_link"",""แพร่!J683"")+IMPORTRANGE("""&amp;"https://docs.google.com/spreadsheets/d/1Wbcosgy-Xa1xXUArJSOenub6EfZHUSzc_bpJFWwQUf0/edit?usp=share_link"",""แม่ฮ่องสอน!J683"")+IMPORTRANGE(""https://docs.google.com/spreadsheets/d/1p7ERhsr0qZeSn-KSOdeHS9r0heI-lHtkcn2OH7hP0jQ/edit?usp=share_link"",""ลำปาง!"&amp;"J683"")+IMPORTRANGE(""https://docs.google.com/spreadsheets/d/1-uUXvimVhiU2U0bMN-xi2te0tS4X7DI2GLPnMjzl8cA/edit?usp=share_link"",""ลำพูน!J683"")+IMPORTRANGE(""https://docs.google.com/spreadsheets/d/17HrOaa5pBUI1onckFfumXB8xlg35qb2uBAFfF1D-Myo/edit?usp=shar"&amp;"e_link"",""สุโขทัย!J683"")+IMPORTRANGE(""https://docs.google.com/spreadsheets/d/1ubs5cl16eYL9gHbdHTJtmtYb9MGzHBs7CAphn8kNCgM/edit?usp=share_link"",""อุตรดิตถ์!J683"")+IMPORTRANGE(""https://docs.google.com/spreadsheets/d/1kII0BjS6CtVrBvI8IrytgPdxDrlyQDyigz"&amp;"MsohRtDMs/edit?usp=share_link"",""อุทัยธานี!J683"")
"),0)</f>
        <v>0</v>
      </c>
      <c r="K683" s="38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540"/>
      <c r="C685" s="540" t="s">
        <v>16</v>
      </c>
      <c r="D685" s="929" t="s">
        <v>17</v>
      </c>
      <c r="E685" s="923"/>
      <c r="F685" s="923"/>
      <c r="G685" s="189"/>
      <c r="H685" s="563" t="s">
        <v>12</v>
      </c>
      <c r="I685" s="37"/>
      <c r="J685" s="37"/>
      <c r="K685" s="38"/>
      <c r="L685" s="195">
        <f t="shared" ref="L685:N685" ca="1" si="322">L686+L687</f>
        <v>298560</v>
      </c>
      <c r="M685" s="195">
        <f t="shared" si="322"/>
        <v>0</v>
      </c>
      <c r="N685" s="195">
        <f t="shared" ca="1" si="322"/>
        <v>2000</v>
      </c>
      <c r="O685" s="195">
        <f t="shared" ref="O685:O688" ca="1" si="323">IF(L685&gt;0,N685*100/L685,0)</f>
        <v>0.66988210075026799</v>
      </c>
      <c r="P685" s="195">
        <f t="shared" ref="P685:P688" si="32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565"/>
      <c r="C686" s="565"/>
      <c r="D686" s="566"/>
      <c r="E686" s="567" t="s">
        <v>184</v>
      </c>
      <c r="F686" s="565"/>
      <c r="G686" s="568"/>
      <c r="H686" s="165" t="s">
        <v>12</v>
      </c>
      <c r="I686" s="44"/>
      <c r="J686" s="44"/>
      <c r="K686" s="45"/>
      <c r="L686" s="45">
        <f t="shared" ref="L686:N686" si="325">L689+L696</f>
        <v>0</v>
      </c>
      <c r="M686" s="45">
        <f t="shared" si="325"/>
        <v>0</v>
      </c>
      <c r="N686" s="45">
        <f t="shared" si="325"/>
        <v>0</v>
      </c>
      <c r="O686" s="45">
        <f t="shared" si="323"/>
        <v>0</v>
      </c>
      <c r="P686" s="45">
        <f t="shared" si="32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0"/>
      <c r="C687" s="565"/>
      <c r="D687" s="566"/>
      <c r="E687" s="567" t="s">
        <v>185</v>
      </c>
      <c r="F687" s="565"/>
      <c r="G687" s="568"/>
      <c r="H687" s="165" t="s">
        <v>12</v>
      </c>
      <c r="I687" s="44"/>
      <c r="J687" s="44"/>
      <c r="K687" s="45"/>
      <c r="L687" s="45">
        <f t="shared" ref="L687:N687" ca="1" si="326">L690+L697</f>
        <v>298560</v>
      </c>
      <c r="M687" s="45">
        <f t="shared" si="326"/>
        <v>0</v>
      </c>
      <c r="N687" s="45">
        <f t="shared" ca="1" si="326"/>
        <v>2000</v>
      </c>
      <c r="O687" s="45">
        <f t="shared" ca="1" si="323"/>
        <v>0.66988210075026799</v>
      </c>
      <c r="P687" s="45">
        <f t="shared" si="32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540"/>
      <c r="D688" s="571" t="s">
        <v>20</v>
      </c>
      <c r="E688" s="540"/>
      <c r="F688" s="540"/>
      <c r="G688" s="189"/>
      <c r="H688" s="161" t="s">
        <v>12</v>
      </c>
      <c r="I688" s="162"/>
      <c r="J688" s="162"/>
      <c r="K688" s="163"/>
      <c r="L688" s="38">
        <f t="shared" ref="L688:N688" ca="1" si="327">L689+L690</f>
        <v>298560</v>
      </c>
      <c r="M688" s="38">
        <f t="shared" si="327"/>
        <v>0</v>
      </c>
      <c r="N688" s="38">
        <f t="shared" ca="1" si="327"/>
        <v>2000</v>
      </c>
      <c r="O688" s="38">
        <f t="shared" ca="1" si="323"/>
        <v>0.66988210075026799</v>
      </c>
      <c r="P688" s="38">
        <f t="shared" si="32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0"/>
      <c r="C689" s="565"/>
      <c r="D689" s="566"/>
      <c r="E689" s="567" t="s">
        <v>184</v>
      </c>
      <c r="F689" s="565"/>
      <c r="G689" s="56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0"/>
      <c r="C690" s="565"/>
      <c r="D690" s="566"/>
      <c r="E690" s="567" t="s">
        <v>185</v>
      </c>
      <c r="F690" s="565"/>
      <c r="G690" s="568"/>
      <c r="H690" s="165" t="s">
        <v>12</v>
      </c>
      <c r="I690" s="44"/>
      <c r="J690" s="44"/>
      <c r="K690" s="45"/>
      <c r="L690" s="45">
        <f ca="1">IFERROR(__xludf.DUMMYFUNCTION("IMPORTRANGE(""https://docs.google.com/spreadsheets/d/1KxicF4apzSqm0-jIpmueT4kyZtE-Cwn5zskl7GD4loQ/edit?usp=share_link"",""กำแพงเพชร!l690"")+IMPORTRANGE(""https://docs.google.com/spreadsheets/d/1ZNYWeiFoFA1K1U4xKWqRX29MBvEyRHXORjo734Gnq_c/edit?usp=share_li"&amp;"nk"",""เชียงราย!l690"")
+IMPORTRANGE(""https://docs.google.com/spreadsheets/d/1Jgv0Y7YlHDtsiDawwp-uvifEJ8HVaSn0k2aGHG8-hwM/edit?usp=share_link"",""เชียงใหม่!l690"")+IMPORTRANGE(""https://docs.google.com/spreadsheets/d/1JWG2rZePOz9pe-f-ObA-yDr0VoOX2kSb0qIi"&amp;"x2mTUo8/edit?usp=share_link"",""ตาก!l690"")+IMPORTRANGE(""https://docs.google.com/spreadsheets/d/10nSRjK08hx8Y6HgSOQKNw81lyY46Zc7U_Cj72hBMp9U/edit?usp=share_link"",""นครสวรรค์!l690"")+IMPORTRANGE(""https://docs.google.com/spreadsheets/d/1gFVb7qd7amutrIxAA"&amp;"oM7lcy35hllxznovot8lyOfvDo/edit?usp=share_link"",""น่าน!l690"")+IMPORTRANGE(""https://docs.google.com/spreadsheets/d/1K0Aa9s-6EuHE5M0FG1F9aHLXRCOV917xvycTdLdct0w/edit?usp=share_link"",""พะเยา!l690"")+IMPORTRANGE(""https://docs.google.com/spreadsheets/d/1Y"&amp;"9LPKx95PyL5OKy09d-KbKJSuuEZCFdkhYjwC0XQjBA/edit?usp=share_link"",""พิจิตร!l690"")+IMPORTRANGE(""https://docs.google.com/spreadsheets/d/16OMuOwy2eVqZcYWOouQtTpa8X1L23h4660uVHc0C8os/edit?usp=share_link"",""พิษณุโลก!l690"")+IMPORTRANGE(""https://docs.google."&amp;"com/spreadsheets/d/1GfgTldLG6k77HXaMQzaafODklYuucJZQNs_GAPEfZyY/edit?usp=share_link"",""เพชรบูรณ์!l690"")+IMPORTRANGE(""https://docs.google.com/spreadsheets/d/1gvTMYAnm7v1yG1BKWFtr0DnaTsq59oW9dwWvFgq6hs0/edit?usp=share_link"",""แพร่!l690"")+IMPORTRANGE("""&amp;"https://docs.google.com/spreadsheets/d/1Wbcosgy-Xa1xXUArJSOenub6EfZHUSzc_bpJFWwQUf0/edit?usp=share_link"",""แม่ฮ่องสอน!l690"")+IMPORTRANGE(""https://docs.google.com/spreadsheets/d/1p7ERhsr0qZeSn-KSOdeHS9r0heI-lHtkcn2OH7hP0jQ/edit?usp=share_link"",""ลำปาง!"&amp;"l690"")+IMPORTRANGE(""https://docs.google.com/spreadsheets/d/1-uUXvimVhiU2U0bMN-xi2te0tS4X7DI2GLPnMjzl8cA/edit?usp=share_link"",""ลำพูน!l690"")+IMPORTRANGE(""https://docs.google.com/spreadsheets/d/17HrOaa5pBUI1onckFfumXB8xlg35qb2uBAFfF1D-Myo/edit?usp=shar"&amp;"e_link"",""สุโขทัย!l690"")+IMPORTRANGE(""https://docs.google.com/spreadsheets/d/1ubs5cl16eYL9gHbdHTJtmtYb9MGzHBs7CAphn8kNCgM/edit?usp=share_link"",""อุตรดิตถ์!l690"")+IMPORTRANGE(""https://docs.google.com/spreadsheets/d/1kII0BjS6CtVrBvI8IrytgPdxDrlyQDyigz"&amp;"MsohRtDMs/edit?usp=share_link"",""อุทัยธานี!l690"")
"),298560)</f>
        <v>298560</v>
      </c>
      <c r="M690" s="93">
        <v>0</v>
      </c>
      <c r="N690" s="45">
        <f ca="1">N691+N692+N693+N694</f>
        <v>2000</v>
      </c>
      <c r="O690" s="45">
        <f ca="1">IF(L690&gt;0,N690*100/L690,0)</f>
        <v>0.66988210075026799</v>
      </c>
      <c r="P690" s="45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540"/>
      <c r="D691" s="540"/>
      <c r="E691" s="540"/>
      <c r="F691" s="541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xicF4apzSqm0-jIpmueT4kyZtE-Cwn5zskl7GD4loQ/edit?usp=share_link"",""กำแพงเพชร!n691"")+IMPORTRANGE(""https://docs.google.com/spreadsheets/d/1ZNYWeiFoFA1K1U4xKWqRX29MBvEyRHXORjo734Gnq_c/edit?usp=share_li"&amp;"nk"",""เชียงราย!n691"")
+IMPORTRANGE(""https://docs.google.com/spreadsheets/d/1Jgv0Y7YlHDtsiDawwp-uvifEJ8HVaSn0k2aGHG8-hwM/edit?usp=share_link"",""เชียงใหม่!n691"")+IMPORTRANGE(""https://docs.google.com/spreadsheets/d/1JWG2rZePOz9pe-f-ObA-yDr0VoOX2kSb0qIi"&amp;"x2mTUo8/edit?usp=share_link"",""ตาก!n691"")+IMPORTRANGE(""https://docs.google.com/spreadsheets/d/10nSRjK08hx8Y6HgSOQKNw81lyY46Zc7U_Cj72hBMp9U/edit?usp=share_link"",""นครสวรรค์!n691"")+IMPORTRANGE(""https://docs.google.com/spreadsheets/d/1gFVb7qd7amutrIxAA"&amp;"oM7lcy35hllxznovot8lyOfvDo/edit?usp=share_link"",""น่าน!n691"")+IMPORTRANGE(""https://docs.google.com/spreadsheets/d/1K0Aa9s-6EuHE5M0FG1F9aHLXRCOV917xvycTdLdct0w/edit?usp=share_link"",""พะเยา!n691"")+IMPORTRANGE(""https://docs.google.com/spreadsheets/d/1Y"&amp;"9LPKx95PyL5OKy09d-KbKJSuuEZCFdkhYjwC0XQjBA/edit?usp=share_link"",""พิจิตร!n691"")+IMPORTRANGE(""https://docs.google.com/spreadsheets/d/16OMuOwy2eVqZcYWOouQtTpa8X1L23h4660uVHc0C8os/edit?usp=share_link"",""พิษณุโลก!n691"")+IMPORTRANGE(""https://docs.google."&amp;"com/spreadsheets/d/1GfgTldLG6k77HXaMQzaafODklYuucJZQNs_GAPEfZyY/edit?usp=share_link"",""เพชรบูรณ์!n691"")+IMPORTRANGE(""https://docs.google.com/spreadsheets/d/1gvTMYAnm7v1yG1BKWFtr0DnaTsq59oW9dwWvFgq6hs0/edit?usp=share_link"",""แพร่!n691"")+IMPORTRANGE("""&amp;"https://docs.google.com/spreadsheets/d/1Wbcosgy-Xa1xXUArJSOenub6EfZHUSzc_bpJFWwQUf0/edit?usp=share_link"",""แม่ฮ่องสอน!n691"")+IMPORTRANGE(""https://docs.google.com/spreadsheets/d/1p7ERhsr0qZeSn-KSOdeHS9r0heI-lHtkcn2OH7hP0jQ/edit?usp=share_link"",""ลำปาง!"&amp;"n691"")+IMPORTRANGE(""https://docs.google.com/spreadsheets/d/1-uUXvimVhiU2U0bMN-xi2te0tS4X7DI2GLPnMjzl8cA/edit?usp=share_link"",""ลำพูน!n691"")+IMPORTRANGE(""https://docs.google.com/spreadsheets/d/17HrOaa5pBUI1onckFfumXB8xlg35qb2uBAFfF1D-Myo/edit?usp=shar"&amp;"e_link"",""สุโขทัย!n691"")+IMPORTRANGE(""https://docs.google.com/spreadsheets/d/1ubs5cl16eYL9gHbdHTJtmtYb9MGzHBs7CAphn8kNCgM/edit?usp=share_link"",""อุตรดิตถ์!n691"")+IMPORTRANGE(""https://docs.google.com/spreadsheets/d/1kII0BjS6CtVrBvI8IrytgPdxDrlyQDyigz"&amp;"MsohRtDMs/edit?usp=share_link"",""อุทัยธานี!n691"")
"),0)</f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540"/>
      <c r="D692" s="540"/>
      <c r="E692" s="540"/>
      <c r="F692" s="541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xicF4apzSqm0-jIpmueT4kyZtE-Cwn5zskl7GD4loQ/edit?usp=share_link"",""กำแพงเพชร!n692"")+IMPORTRANGE(""https://docs.google.com/spreadsheets/d/1ZNYWeiFoFA1K1U4xKWqRX29MBvEyRHXORjo734Gnq_c/edit?usp=share_li"&amp;"nk"",""เชียงราย!n692"")
+IMPORTRANGE(""https://docs.google.com/spreadsheets/d/1Jgv0Y7YlHDtsiDawwp-uvifEJ8HVaSn0k2aGHG8-hwM/edit?usp=share_link"",""เชียงใหม่!n692"")+IMPORTRANGE(""https://docs.google.com/spreadsheets/d/1JWG2rZePOz9pe-f-ObA-yDr0VoOX2kSb0qIi"&amp;"x2mTUo8/edit?usp=share_link"",""ตาก!n692"")+IMPORTRANGE(""https://docs.google.com/spreadsheets/d/10nSRjK08hx8Y6HgSOQKNw81lyY46Zc7U_Cj72hBMp9U/edit?usp=share_link"",""นครสวรรค์!n692"")+IMPORTRANGE(""https://docs.google.com/spreadsheets/d/1gFVb7qd7amutrIxAA"&amp;"oM7lcy35hllxznovot8lyOfvDo/edit?usp=share_link"",""น่าน!n692"")+IMPORTRANGE(""https://docs.google.com/spreadsheets/d/1K0Aa9s-6EuHE5M0FG1F9aHLXRCOV917xvycTdLdct0w/edit?usp=share_link"",""พะเยา!n692"")+IMPORTRANGE(""https://docs.google.com/spreadsheets/d/1Y"&amp;"9LPKx95PyL5OKy09d-KbKJSuuEZCFdkhYjwC0XQjBA/edit?usp=share_link"",""พิจิตร!n692"")+IMPORTRANGE(""https://docs.google.com/spreadsheets/d/16OMuOwy2eVqZcYWOouQtTpa8X1L23h4660uVHc0C8os/edit?usp=share_link"",""พิษณุโลก!n692"")+IMPORTRANGE(""https://docs.google."&amp;"com/spreadsheets/d/1GfgTldLG6k77HXaMQzaafODklYuucJZQNs_GAPEfZyY/edit?usp=share_link"",""เพชรบูรณ์!n692"")+IMPORTRANGE(""https://docs.google.com/spreadsheets/d/1gvTMYAnm7v1yG1BKWFtr0DnaTsq59oW9dwWvFgq6hs0/edit?usp=share_link"",""แพร่!n692"")+IMPORTRANGE("""&amp;"https://docs.google.com/spreadsheets/d/1Wbcosgy-Xa1xXUArJSOenub6EfZHUSzc_bpJFWwQUf0/edit?usp=share_link"",""แม่ฮ่องสอน!n692"")+IMPORTRANGE(""https://docs.google.com/spreadsheets/d/1p7ERhsr0qZeSn-KSOdeHS9r0heI-lHtkcn2OH7hP0jQ/edit?usp=share_link"",""ลำปาง!"&amp;"n692"")+IMPORTRANGE(""https://docs.google.com/spreadsheets/d/1-uUXvimVhiU2U0bMN-xi2te0tS4X7DI2GLPnMjzl8cA/edit?usp=share_link"",""ลำพูน!n692"")+IMPORTRANGE(""https://docs.google.com/spreadsheets/d/17HrOaa5pBUI1onckFfumXB8xlg35qb2uBAFfF1D-Myo/edit?usp=shar"&amp;"e_link"",""สุโขทัย!n692"")+IMPORTRANGE(""https://docs.google.com/spreadsheets/d/1ubs5cl16eYL9gHbdHTJtmtYb9MGzHBs7CAphn8kNCgM/edit?usp=share_link"",""อุตรดิตถ์!n692"")+IMPORTRANGE(""https://docs.google.com/spreadsheets/d/1kII0BjS6CtVrBvI8IrytgPdxDrlyQDyigz"&amp;"MsohRtDMs/edit?usp=share_link"",""อุทัยธานี!n692"")
"),0)</f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540"/>
      <c r="D693" s="540"/>
      <c r="E693" s="540"/>
      <c r="F693" s="541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xicF4apzSqm0-jIpmueT4kyZtE-Cwn5zskl7GD4loQ/edit?usp=share_link"",""กำแพงเพชร!n693"")+IMPORTRANGE(""https://docs.google.com/spreadsheets/d/1ZNYWeiFoFA1K1U4xKWqRX29MBvEyRHXORjo734Gnq_c/edit?usp=share_li"&amp;"nk"",""เชียงราย!n693"")
+IMPORTRANGE(""https://docs.google.com/spreadsheets/d/1Jgv0Y7YlHDtsiDawwp-uvifEJ8HVaSn0k2aGHG8-hwM/edit?usp=share_link"",""เชียงใหม่!n693"")+IMPORTRANGE(""https://docs.google.com/spreadsheets/d/1JWG2rZePOz9pe-f-ObA-yDr0VoOX2kSb0qIi"&amp;"x2mTUo8/edit?usp=share_link"",""ตาก!n693"")+IMPORTRANGE(""https://docs.google.com/spreadsheets/d/10nSRjK08hx8Y6HgSOQKNw81lyY46Zc7U_Cj72hBMp9U/edit?usp=share_link"",""นครสวรรค์!n693"")+IMPORTRANGE(""https://docs.google.com/spreadsheets/d/1gFVb7qd7amutrIxAA"&amp;"oM7lcy35hllxznovot8lyOfvDo/edit?usp=share_link"",""น่าน!n693"")+IMPORTRANGE(""https://docs.google.com/spreadsheets/d/1K0Aa9s-6EuHE5M0FG1F9aHLXRCOV917xvycTdLdct0w/edit?usp=share_link"",""พะเยา!n693"")+IMPORTRANGE(""https://docs.google.com/spreadsheets/d/1Y"&amp;"9LPKx95PyL5OKy09d-KbKJSuuEZCFdkhYjwC0XQjBA/edit?usp=share_link"",""พิจิตร!n693"")+IMPORTRANGE(""https://docs.google.com/spreadsheets/d/16OMuOwy2eVqZcYWOouQtTpa8X1L23h4660uVHc0C8os/edit?usp=share_link"",""พิษณุโลก!n693"")+IMPORTRANGE(""https://docs.google."&amp;"com/spreadsheets/d/1GfgTldLG6k77HXaMQzaafODklYuucJZQNs_GAPEfZyY/edit?usp=share_link"",""เพชรบูรณ์!n693"")+IMPORTRANGE(""https://docs.google.com/spreadsheets/d/1gvTMYAnm7v1yG1BKWFtr0DnaTsq59oW9dwWvFgq6hs0/edit?usp=share_link"",""แพร่!n693"")+IMPORTRANGE("""&amp;"https://docs.google.com/spreadsheets/d/1Wbcosgy-Xa1xXUArJSOenub6EfZHUSzc_bpJFWwQUf0/edit?usp=share_link"",""แม่ฮ่องสอน!n693"")+IMPORTRANGE(""https://docs.google.com/spreadsheets/d/1p7ERhsr0qZeSn-KSOdeHS9r0heI-lHtkcn2OH7hP0jQ/edit?usp=share_link"",""ลำปาง!"&amp;"n693"")+IMPORTRANGE(""https://docs.google.com/spreadsheets/d/1-uUXvimVhiU2U0bMN-xi2te0tS4X7DI2GLPnMjzl8cA/edit?usp=share_link"",""ลำพูน!n693"")+IMPORTRANGE(""https://docs.google.com/spreadsheets/d/17HrOaa5pBUI1onckFfumXB8xlg35qb2uBAFfF1D-Myo/edit?usp=shar"&amp;"e_link"",""สุโขทัย!n693"")+IMPORTRANGE(""https://docs.google.com/spreadsheets/d/1ubs5cl16eYL9gHbdHTJtmtYb9MGzHBs7CAphn8kNCgM/edit?usp=share_link"",""อุตรดิตถ์!n693"")+IMPORTRANGE(""https://docs.google.com/spreadsheets/d/1kII0BjS6CtVrBvI8IrytgPdxDrlyQDyigz"&amp;"MsohRtDMs/edit?usp=share_link"",""อุทัยธานี!n693"")
"),0)</f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540"/>
      <c r="D694" s="540"/>
      <c r="E694" s="540"/>
      <c r="F694" s="541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xicF4apzSqm0-jIpmueT4kyZtE-Cwn5zskl7GD4loQ/edit?usp=share_link"",""กำแพงเพชร!n694"")+IMPORTRANGE(""https://docs.google.com/spreadsheets/d/1ZNYWeiFoFA1K1U4xKWqRX29MBvEyRHXORjo734Gnq_c/edit?usp=share_li"&amp;"nk"",""เชียงราย!n694"")
+IMPORTRANGE(""https://docs.google.com/spreadsheets/d/1Jgv0Y7YlHDtsiDawwp-uvifEJ8HVaSn0k2aGHG8-hwM/edit?usp=share_link"",""เชียงใหม่!n694"")+IMPORTRANGE(""https://docs.google.com/spreadsheets/d/1JWG2rZePOz9pe-f-ObA-yDr0VoOX2kSb0qIi"&amp;"x2mTUo8/edit?usp=share_link"",""ตาก!n694"")+IMPORTRANGE(""https://docs.google.com/spreadsheets/d/10nSRjK08hx8Y6HgSOQKNw81lyY46Zc7U_Cj72hBMp9U/edit?usp=share_link"",""นครสวรรค์!n694"")+IMPORTRANGE(""https://docs.google.com/spreadsheets/d/1gFVb7qd7amutrIxAA"&amp;"oM7lcy35hllxznovot8lyOfvDo/edit?usp=share_link"",""น่าน!n694"")+IMPORTRANGE(""https://docs.google.com/spreadsheets/d/1K0Aa9s-6EuHE5M0FG1F9aHLXRCOV917xvycTdLdct0w/edit?usp=share_link"",""พะเยา!n694"")+IMPORTRANGE(""https://docs.google.com/spreadsheets/d/1Y"&amp;"9LPKx95PyL5OKy09d-KbKJSuuEZCFdkhYjwC0XQjBA/edit?usp=share_link"",""พิจิตร!n694"")+IMPORTRANGE(""https://docs.google.com/spreadsheets/d/16OMuOwy2eVqZcYWOouQtTpa8X1L23h4660uVHc0C8os/edit?usp=share_link"",""พิษณุโลก!n694"")+IMPORTRANGE(""https://docs.google."&amp;"com/spreadsheets/d/1GfgTldLG6k77HXaMQzaafODklYuucJZQNs_GAPEfZyY/edit?usp=share_link"",""เพชรบูรณ์!n694"")+IMPORTRANGE(""https://docs.google.com/spreadsheets/d/1gvTMYAnm7v1yG1BKWFtr0DnaTsq59oW9dwWvFgq6hs0/edit?usp=share_link"",""แพร่!n694"")+IMPORTRANGE("""&amp;"https://docs.google.com/spreadsheets/d/1Wbcosgy-Xa1xXUArJSOenub6EfZHUSzc_bpJFWwQUf0/edit?usp=share_link"",""แม่ฮ่องสอน!n694"")+IMPORTRANGE(""https://docs.google.com/spreadsheets/d/1p7ERhsr0qZeSn-KSOdeHS9r0heI-lHtkcn2OH7hP0jQ/edit?usp=share_link"",""ลำปาง!"&amp;"n694"")+IMPORTRANGE(""https://docs.google.com/spreadsheets/d/1-uUXvimVhiU2U0bMN-xi2te0tS4X7DI2GLPnMjzl8cA/edit?usp=share_link"",""ลำพูน!n694"")+IMPORTRANGE(""https://docs.google.com/spreadsheets/d/17HrOaa5pBUI1onckFfumXB8xlg35qb2uBAFfF1D-Myo/edit?usp=shar"&amp;"e_link"",""สุโขทัย!n694"")+IMPORTRANGE(""https://docs.google.com/spreadsheets/d/1ubs5cl16eYL9gHbdHTJtmtYb9MGzHBs7CAphn8kNCgM/edit?usp=share_link"",""อุตรดิตถ์!n694"")+IMPORTRANGE(""https://docs.google.com/spreadsheets/d/1kII0BjS6CtVrBvI8IrytgPdxDrlyQDyigz"&amp;"MsohRtDMs/edit?usp=share_link"",""อุทัยธานี!n694"")
"),2000)</f>
        <v>2000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540"/>
      <c r="D695" s="725" t="s">
        <v>21</v>
      </c>
      <c r="E695" s="540"/>
      <c r="F695" s="540"/>
      <c r="G695" s="189"/>
      <c r="H695" s="168" t="s">
        <v>12</v>
      </c>
      <c r="I695" s="162"/>
      <c r="J695" s="162"/>
      <c r="K695" s="163"/>
      <c r="L695" s="38">
        <f t="shared" ref="L695:N695" si="328">L696+L697</f>
        <v>0</v>
      </c>
      <c r="M695" s="38">
        <f t="shared" si="328"/>
        <v>0</v>
      </c>
      <c r="N695" s="38">
        <f t="shared" si="328"/>
        <v>0</v>
      </c>
      <c r="O695" s="38">
        <f t="shared" ref="O695:O697" si="329">IF(L695&gt;0,N695*100/L695,0)</f>
        <v>0</v>
      </c>
      <c r="P695" s="38">
        <f t="shared" ref="P695:P697" si="330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0"/>
      <c r="C696" s="565"/>
      <c r="D696" s="565"/>
      <c r="E696" s="726" t="s">
        <v>18</v>
      </c>
      <c r="F696" s="565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9"/>
        <v>0</v>
      </c>
      <c r="P696" s="45">
        <f t="shared" si="330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0"/>
      <c r="C697" s="565"/>
      <c r="D697" s="565"/>
      <c r="E697" s="726" t="s">
        <v>19</v>
      </c>
      <c r="F697" s="565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9"/>
        <v>0</v>
      </c>
      <c r="P697" s="45">
        <f t="shared" si="330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74"/>
      <c r="C698" s="540" t="s">
        <v>16</v>
      </c>
      <c r="D698" s="727" t="s">
        <v>38</v>
      </c>
      <c r="E698" s="728"/>
      <c r="F698" s="577"/>
      <c r="G698" s="578"/>
      <c r="H698" s="729"/>
      <c r="I698" s="162"/>
      <c r="J698" s="162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11"/>
      <c r="B699" s="540"/>
      <c r="C699" s="540"/>
      <c r="D699" s="541" t="s">
        <v>294</v>
      </c>
      <c r="E699" s="730"/>
      <c r="F699" s="540"/>
      <c r="G699" s="189"/>
      <c r="H699" s="731" t="s">
        <v>46</v>
      </c>
      <c r="I699" s="732">
        <f ca="1">IFERROR(__xludf.DUMMYFUNCTION("IMPORTRANGE(""https://docs.google.com/spreadsheets/d/1KxicF4apzSqm0-jIpmueT4kyZtE-Cwn5zskl7GD4loQ/edit?usp=share_link"",""กำแพงเพชร!I699"")+IMPORTRANGE(""https://docs.google.com/spreadsheets/d/1ZNYWeiFoFA1K1U4xKWqRX29MBvEyRHXORjo734Gnq_c/edit?usp=share_li"&amp;"nk"",""เชียงราย!I699"")
+IMPORTRANGE(""https://docs.google.com/spreadsheets/d/1Jgv0Y7YlHDtsiDawwp-uvifEJ8HVaSn0k2aGHG8-hwM/edit?usp=share_link"",""เชียงใหม่!I699"")+IMPORTRANGE(""https://docs.google.com/spreadsheets/d/1JWG2rZePOz9pe-f-ObA-yDr0VoOX2kSb0qIi"&amp;"x2mTUo8/edit?usp=share_link"",""ตาก!I699"")+IMPORTRANGE(""https://docs.google.com/spreadsheets/d/10nSRjK08hx8Y6HgSOQKNw81lyY46Zc7U_Cj72hBMp9U/edit?usp=share_link"",""นครสวรรค์!I699"")+IMPORTRANGE(""https://docs.google.com/spreadsheets/d/1gFVb7qd7amutrIxAA"&amp;"oM7lcy35hllxznovot8lyOfvDo/edit?usp=share_link"",""น่าน!I699"")+IMPORTRANGE(""https://docs.google.com/spreadsheets/d/1K0Aa9s-6EuHE5M0FG1F9aHLXRCOV917xvycTdLdct0w/edit?usp=share_link"",""พะเยา!I699"")+IMPORTRANGE(""https://docs.google.com/spreadsheets/d/1Y"&amp;"9LPKx95PyL5OKy09d-KbKJSuuEZCFdkhYjwC0XQjBA/edit?usp=share_link"",""พิจิตร!I699"")+IMPORTRANGE(""https://docs.google.com/spreadsheets/d/16OMuOwy2eVqZcYWOouQtTpa8X1L23h4660uVHc0C8os/edit?usp=share_link"",""พิษณุโลก!I699"")+IMPORTRANGE(""https://docs.google."&amp;"com/spreadsheets/d/1GfgTldLG6k77HXaMQzaafODklYuucJZQNs_GAPEfZyY/edit?usp=share_link"",""เพชรบูรณ์!I699"")+IMPORTRANGE(""https://docs.google.com/spreadsheets/d/1gvTMYAnm7v1yG1BKWFtr0DnaTsq59oW9dwWvFgq6hs0/edit?usp=share_link"",""แพร่!I699"")+IMPORTRANGE("""&amp;"https://docs.google.com/spreadsheets/d/1Wbcosgy-Xa1xXUArJSOenub6EfZHUSzc_bpJFWwQUf0/edit?usp=share_link"",""แม่ฮ่องสอน!I699"")+IMPORTRANGE(""https://docs.google.com/spreadsheets/d/1p7ERhsr0qZeSn-KSOdeHS9r0heI-lHtkcn2OH7hP0jQ/edit?usp=share_link"",""ลำปาง!"&amp;"I699"")+IMPORTRANGE(""https://docs.google.com/spreadsheets/d/1-uUXvimVhiU2U0bMN-xi2te0tS4X7DI2GLPnMjzl8cA/edit?usp=share_link"",""ลำพูน!I699"")+IMPORTRANGE(""https://docs.google.com/spreadsheets/d/17HrOaa5pBUI1onckFfumXB8xlg35qb2uBAFfF1D-Myo/edit?usp=shar"&amp;"e_link"",""สุโขทัย!I699"")+IMPORTRANGE(""https://docs.google.com/spreadsheets/d/1ubs5cl16eYL9gHbdHTJtmtYb9MGzHBs7CAphn8kNCgM/edit?usp=share_link"",""อุตรดิตถ์!I699"")+IMPORTRANGE(""https://docs.google.com/spreadsheets/d/1kII0BjS6CtVrBvI8IrytgPdxDrlyQDyigz"&amp;"MsohRtDMs/edit?usp=share_link"",""อุทัยธานี!I699"")
"),118)</f>
        <v>118</v>
      </c>
      <c r="J699" s="37">
        <f ca="1">IFERROR(__xludf.DUMMYFUNCTION("IMPORTRANGE(""https://docs.google.com/spreadsheets/d/1KxicF4apzSqm0-jIpmueT4kyZtE-Cwn5zskl7GD4loQ/edit?usp=share_link"",""กำแพงเพชร!J699"")+IMPORTRANGE(""https://docs.google.com/spreadsheets/d/1ZNYWeiFoFA1K1U4xKWqRX29MBvEyRHXORjo734Gnq_c/edit?usp=share_li"&amp;"nk"",""เชียงราย!J699"")
+IMPORTRANGE(""https://docs.google.com/spreadsheets/d/1Jgv0Y7YlHDtsiDawwp-uvifEJ8HVaSn0k2aGHG8-hwM/edit?usp=share_link"",""เชียงใหม่!J699"")+IMPORTRANGE(""https://docs.google.com/spreadsheets/d/1JWG2rZePOz9pe-f-ObA-yDr0VoOX2kSb0qIi"&amp;"x2mTUo8/edit?usp=share_link"",""ตาก!J699"")+IMPORTRANGE(""https://docs.google.com/spreadsheets/d/10nSRjK08hx8Y6HgSOQKNw81lyY46Zc7U_Cj72hBMp9U/edit?usp=share_link"",""นครสวรรค์!J699"")+IMPORTRANGE(""https://docs.google.com/spreadsheets/d/1gFVb7qd7amutrIxAA"&amp;"oM7lcy35hllxznovot8lyOfvDo/edit?usp=share_link"",""น่าน!J699"")+IMPORTRANGE(""https://docs.google.com/spreadsheets/d/1K0Aa9s-6EuHE5M0FG1F9aHLXRCOV917xvycTdLdct0w/edit?usp=share_link"",""พะเยา!J699"")+IMPORTRANGE(""https://docs.google.com/spreadsheets/d/1Y"&amp;"9LPKx95PyL5OKy09d-KbKJSuuEZCFdkhYjwC0XQjBA/edit?usp=share_link"",""พิจิตร!J699"")+IMPORTRANGE(""https://docs.google.com/spreadsheets/d/16OMuOwy2eVqZcYWOouQtTpa8X1L23h4660uVHc0C8os/edit?usp=share_link"",""พิษณุโลก!J699"")+IMPORTRANGE(""https://docs.google."&amp;"com/spreadsheets/d/1GfgTldLG6k77HXaMQzaafODklYuucJZQNs_GAPEfZyY/edit?usp=share_link"",""เพชรบูรณ์!J699"")+IMPORTRANGE(""https://docs.google.com/spreadsheets/d/1gvTMYAnm7v1yG1BKWFtr0DnaTsq59oW9dwWvFgq6hs0/edit?usp=share_link"",""แพร่!J699"")+IMPORTRANGE("""&amp;"https://docs.google.com/spreadsheets/d/1Wbcosgy-Xa1xXUArJSOenub6EfZHUSzc_bpJFWwQUf0/edit?usp=share_link"",""แม่ฮ่องสอน!J699"")+IMPORTRANGE(""https://docs.google.com/spreadsheets/d/1p7ERhsr0qZeSn-KSOdeHS9r0heI-lHtkcn2OH7hP0jQ/edit?usp=share_link"",""ลำปาง!"&amp;"J699"")+IMPORTRANGE(""https://docs.google.com/spreadsheets/d/1-uUXvimVhiU2U0bMN-xi2te0tS4X7DI2GLPnMjzl8cA/edit?usp=share_link"",""ลำพูน!J699"")+IMPORTRANGE(""https://docs.google.com/spreadsheets/d/17HrOaa5pBUI1onckFfumXB8xlg35qb2uBAFfF1D-Myo/edit?usp=shar"&amp;"e_link"",""สุโขทัย!J699"")+IMPORTRANGE(""https://docs.google.com/spreadsheets/d/1ubs5cl16eYL9gHbdHTJtmtYb9MGzHBs7CAphn8kNCgM/edit?usp=share_link"",""อุตรดิตถ์!J699"")+IMPORTRANGE(""https://docs.google.com/spreadsheets/d/1kII0BjS6CtVrBvI8IrytgPdxDrlyQDyigz"&amp;"MsohRtDMs/edit?usp=share_link"",""อุทัยธานี!J699"")
"),0)</f>
        <v>0</v>
      </c>
      <c r="K699" s="38">
        <f t="shared" ref="K699:K701" ca="1" si="331">IF(I699&gt;0,J699*100/I699,0)</f>
        <v>0</v>
      </c>
      <c r="L699" s="38"/>
      <c r="M699" s="189"/>
      <c r="N699" s="733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11"/>
      <c r="B700" s="540"/>
      <c r="C700" s="540"/>
      <c r="D700" s="541" t="s">
        <v>295</v>
      </c>
      <c r="E700" s="540"/>
      <c r="F700" s="540"/>
      <c r="G700" s="189"/>
      <c r="H700" s="731" t="s">
        <v>35</v>
      </c>
      <c r="I700" s="732">
        <f ca="1">IFERROR(__xludf.DUMMYFUNCTION("IMPORTRANGE(""https://docs.google.com/spreadsheets/d/1KxicF4apzSqm0-jIpmueT4kyZtE-Cwn5zskl7GD4loQ/edit?usp=share_link"",""กำแพงเพชร!I700"")+IMPORTRANGE(""https://docs.google.com/spreadsheets/d/1ZNYWeiFoFA1K1U4xKWqRX29MBvEyRHXORjo734Gnq_c/edit?usp=share_li"&amp;"nk"",""เชียงราย!I700"")
+IMPORTRANGE(""https://docs.google.com/spreadsheets/d/1Jgv0Y7YlHDtsiDawwp-uvifEJ8HVaSn0k2aGHG8-hwM/edit?usp=share_link"",""เชียงใหม่!I700"")+IMPORTRANGE(""https://docs.google.com/spreadsheets/d/1JWG2rZePOz9pe-f-ObA-yDr0VoOX2kSb0qIi"&amp;"x2mTUo8/edit?usp=share_link"",""ตาก!I700"")+IMPORTRANGE(""https://docs.google.com/spreadsheets/d/10nSRjK08hx8Y6HgSOQKNw81lyY46Zc7U_Cj72hBMp9U/edit?usp=share_link"",""นครสวรรค์!I700"")+IMPORTRANGE(""https://docs.google.com/spreadsheets/d/1gFVb7qd7amutrIxAA"&amp;"oM7lcy35hllxznovot8lyOfvDo/edit?usp=share_link"",""น่าน!I700"")+IMPORTRANGE(""https://docs.google.com/spreadsheets/d/1K0Aa9s-6EuHE5M0FG1F9aHLXRCOV917xvycTdLdct0w/edit?usp=share_link"",""พะเยา!I700"")+IMPORTRANGE(""https://docs.google.com/spreadsheets/d/1Y"&amp;"9LPKx95PyL5OKy09d-KbKJSuuEZCFdkhYjwC0XQjBA/edit?usp=share_link"",""พิจิตร!I700"")+IMPORTRANGE(""https://docs.google.com/spreadsheets/d/16OMuOwy2eVqZcYWOouQtTpa8X1L23h4660uVHc0C8os/edit?usp=share_link"",""พิษณุโลก!I700"")+IMPORTRANGE(""https://docs.google."&amp;"com/spreadsheets/d/1GfgTldLG6k77HXaMQzaafODklYuucJZQNs_GAPEfZyY/edit?usp=share_link"",""เพชรบูรณ์!I700"")+IMPORTRANGE(""https://docs.google.com/spreadsheets/d/1gvTMYAnm7v1yG1BKWFtr0DnaTsq59oW9dwWvFgq6hs0/edit?usp=share_link"",""แพร่!I700"")+IMPORTRANGE("""&amp;"https://docs.google.com/spreadsheets/d/1Wbcosgy-Xa1xXUArJSOenub6EfZHUSzc_bpJFWwQUf0/edit?usp=share_link"",""แม่ฮ่องสอน!I700"")+IMPORTRANGE(""https://docs.google.com/spreadsheets/d/1p7ERhsr0qZeSn-KSOdeHS9r0heI-lHtkcn2OH7hP0jQ/edit?usp=share_link"",""ลำปาง!"&amp;"I700"")+IMPORTRANGE(""https://docs.google.com/spreadsheets/d/1-uUXvimVhiU2U0bMN-xi2te0tS4X7DI2GLPnMjzl8cA/edit?usp=share_link"",""ลำพูน!I700"")+IMPORTRANGE(""https://docs.google.com/spreadsheets/d/17HrOaa5pBUI1onckFfumXB8xlg35qb2uBAFfF1D-Myo/edit?usp=shar"&amp;"e_link"",""สุโขทัย!I700"")+IMPORTRANGE(""https://docs.google.com/spreadsheets/d/1ubs5cl16eYL9gHbdHTJtmtYb9MGzHBs7CAphn8kNCgM/edit?usp=share_link"",""อุตรดิตถ์!I700"")+IMPORTRANGE(""https://docs.google.com/spreadsheets/d/1kII0BjS6CtVrBvI8IrytgPdxDrlyQDyigz"&amp;"MsohRtDMs/edit?usp=share_link"",""อุทัยธานี!I700"")
"),187)</f>
        <v>187</v>
      </c>
      <c r="J700" s="37">
        <f ca="1">IFERROR(__xludf.DUMMYFUNCTION("IMPORTRANGE(""https://docs.google.com/spreadsheets/d/1KxicF4apzSqm0-jIpmueT4kyZtE-Cwn5zskl7GD4loQ/edit?usp=share_link"",""กำแพงเพชร!J700"")+IMPORTRANGE(""https://docs.google.com/spreadsheets/d/1ZNYWeiFoFA1K1U4xKWqRX29MBvEyRHXORjo734Gnq_c/edit?usp=share_li"&amp;"nk"",""เชียงราย!J700"")
+IMPORTRANGE(""https://docs.google.com/spreadsheets/d/1Jgv0Y7YlHDtsiDawwp-uvifEJ8HVaSn0k2aGHG8-hwM/edit?usp=share_link"",""เชียงใหม่!J700"")+IMPORTRANGE(""https://docs.google.com/spreadsheets/d/1JWG2rZePOz9pe-f-ObA-yDr0VoOX2kSb0qIi"&amp;"x2mTUo8/edit?usp=share_link"",""ตาก!J700"")+IMPORTRANGE(""https://docs.google.com/spreadsheets/d/10nSRjK08hx8Y6HgSOQKNw81lyY46Zc7U_Cj72hBMp9U/edit?usp=share_link"",""นครสวรรค์!J700"")+IMPORTRANGE(""https://docs.google.com/spreadsheets/d/1gFVb7qd7amutrIxAA"&amp;"oM7lcy35hllxznovot8lyOfvDo/edit?usp=share_link"",""น่าน!J700"")+IMPORTRANGE(""https://docs.google.com/spreadsheets/d/1K0Aa9s-6EuHE5M0FG1F9aHLXRCOV917xvycTdLdct0w/edit?usp=share_link"",""พะเยา!J700"")+IMPORTRANGE(""https://docs.google.com/spreadsheets/d/1Y"&amp;"9LPKx95PyL5OKy09d-KbKJSuuEZCFdkhYjwC0XQjBA/edit?usp=share_link"",""พิจิตร!J700"")+IMPORTRANGE(""https://docs.google.com/spreadsheets/d/16OMuOwy2eVqZcYWOouQtTpa8X1L23h4660uVHc0C8os/edit?usp=share_link"",""พิษณุโลก!J700"")+IMPORTRANGE(""https://docs.google."&amp;"com/spreadsheets/d/1GfgTldLG6k77HXaMQzaafODklYuucJZQNs_GAPEfZyY/edit?usp=share_link"",""เพชรบูรณ์!J700"")+IMPORTRANGE(""https://docs.google.com/spreadsheets/d/1gvTMYAnm7v1yG1BKWFtr0DnaTsq59oW9dwWvFgq6hs0/edit?usp=share_link"",""แพร่!J700"")+IMPORTRANGE("""&amp;"https://docs.google.com/spreadsheets/d/1Wbcosgy-Xa1xXUArJSOenub6EfZHUSzc_bpJFWwQUf0/edit?usp=share_link"",""แม่ฮ่องสอน!J700"")+IMPORTRANGE(""https://docs.google.com/spreadsheets/d/1p7ERhsr0qZeSn-KSOdeHS9r0heI-lHtkcn2OH7hP0jQ/edit?usp=share_link"",""ลำปาง!"&amp;"J700"")+IMPORTRANGE(""https://docs.google.com/spreadsheets/d/1-uUXvimVhiU2U0bMN-xi2te0tS4X7DI2GLPnMjzl8cA/edit?usp=share_link"",""ลำพูน!J700"")+IMPORTRANGE(""https://docs.google.com/spreadsheets/d/17HrOaa5pBUI1onckFfumXB8xlg35qb2uBAFfF1D-Myo/edit?usp=shar"&amp;"e_link"",""สุโขทัย!J700"")+IMPORTRANGE(""https://docs.google.com/spreadsheets/d/1ubs5cl16eYL9gHbdHTJtmtYb9MGzHBs7CAphn8kNCgM/edit?usp=share_link"",""อุตรดิตถ์!J700"")+IMPORTRANGE(""https://docs.google.com/spreadsheets/d/1kII0BjS6CtVrBvI8IrytgPdxDrlyQDyigz"&amp;"MsohRtDMs/edit?usp=share_link"",""อุทัยธานี!J700"")
"),3)</f>
        <v>3</v>
      </c>
      <c r="K700" s="38">
        <f t="shared" ca="1" si="331"/>
        <v>1.6042780748663101</v>
      </c>
      <c r="L700" s="38"/>
      <c r="M700" s="189"/>
      <c r="N700" s="733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11"/>
      <c r="B701" s="540"/>
      <c r="C701" s="540"/>
      <c r="D701" s="541" t="s">
        <v>296</v>
      </c>
      <c r="E701" s="540"/>
      <c r="F701" s="540"/>
      <c r="G701" s="189"/>
      <c r="H701" s="734" t="s">
        <v>46</v>
      </c>
      <c r="I701" s="735">
        <f ca="1">IFERROR(__xludf.DUMMYFUNCTION("IMPORTRANGE(""https://docs.google.com/spreadsheets/d/1KxicF4apzSqm0-jIpmueT4kyZtE-Cwn5zskl7GD4loQ/edit?usp=share_link"",""กำแพงเพชร!I701"")+IMPORTRANGE(""https://docs.google.com/spreadsheets/d/1ZNYWeiFoFA1K1U4xKWqRX29MBvEyRHXORjo734Gnq_c/edit?usp=share_li"&amp;"nk"",""เชียงราย!I701"")
+IMPORTRANGE(""https://docs.google.com/spreadsheets/d/1Jgv0Y7YlHDtsiDawwp-uvifEJ8HVaSn0k2aGHG8-hwM/edit?usp=share_link"",""เชียงใหม่!I701"")+IMPORTRANGE(""https://docs.google.com/spreadsheets/d/1JWG2rZePOz9pe-f-ObA-yDr0VoOX2kSb0qIi"&amp;"x2mTUo8/edit?usp=share_link"",""ตาก!I701"")+IMPORTRANGE(""https://docs.google.com/spreadsheets/d/10nSRjK08hx8Y6HgSOQKNw81lyY46Zc7U_Cj72hBMp9U/edit?usp=share_link"",""นครสวรรค์!I701"")+IMPORTRANGE(""https://docs.google.com/spreadsheets/d/1gFVb7qd7amutrIxAA"&amp;"oM7lcy35hllxznovot8lyOfvDo/edit?usp=share_link"",""น่าน!I701"")+IMPORTRANGE(""https://docs.google.com/spreadsheets/d/1K0Aa9s-6EuHE5M0FG1F9aHLXRCOV917xvycTdLdct0w/edit?usp=share_link"",""พะเยา!I701"")+IMPORTRANGE(""https://docs.google.com/spreadsheets/d/1Y"&amp;"9LPKx95PyL5OKy09d-KbKJSuuEZCFdkhYjwC0XQjBA/edit?usp=share_link"",""พิจิตร!I701"")+IMPORTRANGE(""https://docs.google.com/spreadsheets/d/16OMuOwy2eVqZcYWOouQtTpa8X1L23h4660uVHc0C8os/edit?usp=share_link"",""พิษณุโลก!I701"")+IMPORTRANGE(""https://docs.google."&amp;"com/spreadsheets/d/1GfgTldLG6k77HXaMQzaafODklYuucJZQNs_GAPEfZyY/edit?usp=share_link"",""เพชรบูรณ์!I701"")+IMPORTRANGE(""https://docs.google.com/spreadsheets/d/1gvTMYAnm7v1yG1BKWFtr0DnaTsq59oW9dwWvFgq6hs0/edit?usp=share_link"",""แพร่!I701"")+IMPORTRANGE("""&amp;"https://docs.google.com/spreadsheets/d/1Wbcosgy-Xa1xXUArJSOenub6EfZHUSzc_bpJFWwQUf0/edit?usp=share_link"",""แม่ฮ่องสอน!I701"")+IMPORTRANGE(""https://docs.google.com/spreadsheets/d/1p7ERhsr0qZeSn-KSOdeHS9r0heI-lHtkcn2OH7hP0jQ/edit?usp=share_link"",""ลำปาง!"&amp;"I701"")+IMPORTRANGE(""https://docs.google.com/spreadsheets/d/1-uUXvimVhiU2U0bMN-xi2te0tS4X7DI2GLPnMjzl8cA/edit?usp=share_link"",""ลำพูน!I701"")+IMPORTRANGE(""https://docs.google.com/spreadsheets/d/17HrOaa5pBUI1onckFfumXB8xlg35qb2uBAFfF1D-Myo/edit?usp=shar"&amp;"e_link"",""สุโขทัย!I701"")+IMPORTRANGE(""https://docs.google.com/spreadsheets/d/1ubs5cl16eYL9gHbdHTJtmtYb9MGzHBs7CAphn8kNCgM/edit?usp=share_link"",""อุตรดิตถ์!I701"")+IMPORTRANGE(""https://docs.google.com/spreadsheets/d/1kII0BjS6CtVrBvI8IrytgPdxDrlyQDyigz"&amp;"MsohRtDMs/edit?usp=share_link"",""อุทัยธานี!I701"")
"),2088)</f>
        <v>2088</v>
      </c>
      <c r="J701" s="194">
        <f ca="1">J704+J707</f>
        <v>70.039999999999907</v>
      </c>
      <c r="K701" s="195">
        <f t="shared" ca="1" si="331"/>
        <v>3.3544061302681949</v>
      </c>
      <c r="L701" s="38"/>
      <c r="M701" s="189"/>
      <c r="N701" s="733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11"/>
      <c r="B702" s="540"/>
      <c r="C702" s="540"/>
      <c r="D702" s="540"/>
      <c r="E702" s="541" t="s">
        <v>297</v>
      </c>
      <c r="F702" s="540"/>
      <c r="G702" s="189"/>
      <c r="H702" s="182" t="s">
        <v>35</v>
      </c>
      <c r="I702" s="732"/>
      <c r="J702" s="183">
        <f ca="1">IFERROR(__xludf.DUMMYFUNCTION("IMPORTRANGE(""https://docs.google.com/spreadsheets/d/1KxicF4apzSqm0-jIpmueT4kyZtE-Cwn5zskl7GD4loQ/edit?usp=share_link"",""กำแพงเพชร!J702"")+IMPORTRANGE(""https://docs.google.com/spreadsheets/d/1ZNYWeiFoFA1K1U4xKWqRX29MBvEyRHXORjo734Gnq_c/edit?usp=share_li"&amp;"nk"",""เชียงราย!J702"")
+IMPORTRANGE(""https://docs.google.com/spreadsheets/d/1Jgv0Y7YlHDtsiDawwp-uvifEJ8HVaSn0k2aGHG8-hwM/edit?usp=share_link"",""เชียงใหม่!J702"")+IMPORTRANGE(""https://docs.google.com/spreadsheets/d/1JWG2rZePOz9pe-f-ObA-yDr0VoOX2kSb0qIi"&amp;"x2mTUo8/edit?usp=share_link"",""ตาก!J702"")+IMPORTRANGE(""https://docs.google.com/spreadsheets/d/10nSRjK08hx8Y6HgSOQKNw81lyY46Zc7U_Cj72hBMp9U/edit?usp=share_link"",""นครสวรรค์!J702"")+IMPORTRANGE(""https://docs.google.com/spreadsheets/d/1gFVb7qd7amutrIxAA"&amp;"oM7lcy35hllxznovot8lyOfvDo/edit?usp=share_link"",""น่าน!J702"")+IMPORTRANGE(""https://docs.google.com/spreadsheets/d/1K0Aa9s-6EuHE5M0FG1F9aHLXRCOV917xvycTdLdct0w/edit?usp=share_link"",""พะเยา!J702"")+IMPORTRANGE(""https://docs.google.com/spreadsheets/d/1Y"&amp;"9LPKx95PyL5OKy09d-KbKJSuuEZCFdkhYjwC0XQjBA/edit?usp=share_link"",""พิจิตร!J702"")+IMPORTRANGE(""https://docs.google.com/spreadsheets/d/16OMuOwy2eVqZcYWOouQtTpa8X1L23h4660uVHc0C8os/edit?usp=share_link"",""พิษณุโลก!J702"")+IMPORTRANGE(""https://docs.google."&amp;"com/spreadsheets/d/1GfgTldLG6k77HXaMQzaafODklYuucJZQNs_GAPEfZyY/edit?usp=share_link"",""เพชรบูรณ์!J702"")+IMPORTRANGE(""https://docs.google.com/spreadsheets/d/1gvTMYAnm7v1yG1BKWFtr0DnaTsq59oW9dwWvFgq6hs0/edit?usp=share_link"",""แพร่!J702"")+IMPORTRANGE("""&amp;"https://docs.google.com/spreadsheets/d/1Wbcosgy-Xa1xXUArJSOenub6EfZHUSzc_bpJFWwQUf0/edit?usp=share_link"",""แม่ฮ่องสอน!J702"")+IMPORTRANGE(""https://docs.google.com/spreadsheets/d/1p7ERhsr0qZeSn-KSOdeHS9r0heI-lHtkcn2OH7hP0jQ/edit?usp=share_link"",""ลำปาง!"&amp;"J702"")+IMPORTRANGE(""https://docs.google.com/spreadsheets/d/1-uUXvimVhiU2U0bMN-xi2te0tS4X7DI2GLPnMjzl8cA/edit?usp=share_link"",""ลำพูน!J702"")+IMPORTRANGE(""https://docs.google.com/spreadsheets/d/17HrOaa5pBUI1onckFfumXB8xlg35qb2uBAFfF1D-Myo/edit?usp=shar"&amp;"e_link"",""สุโขทัย!J702"")+IMPORTRANGE(""https://docs.google.com/spreadsheets/d/1ubs5cl16eYL9gHbdHTJtmtYb9MGzHBs7CAphn8kNCgM/edit?usp=share_link"",""อุตรดิตถ์!J702"")+IMPORTRANGE(""https://docs.google.com/spreadsheets/d/1kII0BjS6CtVrBvI8IrytgPdxDrlyQDyigz"&amp;"MsohRtDMs/edit?usp=share_link"",""อุทัยธานี!J702"")
"),0)</f>
        <v>0</v>
      </c>
      <c r="K702" s="38"/>
      <c r="L702" s="38"/>
      <c r="M702" s="189"/>
      <c r="N702" s="733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11"/>
      <c r="B703" s="540"/>
      <c r="C703" s="540"/>
      <c r="D703" s="540"/>
      <c r="E703" s="540"/>
      <c r="F703" s="540"/>
      <c r="G703" s="189"/>
      <c r="H703" s="182" t="s">
        <v>34</v>
      </c>
      <c r="I703" s="732"/>
      <c r="J703" s="183">
        <f ca="1">IFERROR(__xludf.DUMMYFUNCTION("IMPORTRANGE(""https://docs.google.com/spreadsheets/d/1KxicF4apzSqm0-jIpmueT4kyZtE-Cwn5zskl7GD4loQ/edit?usp=share_link"",""กำแพงเพชร!J703"")+IMPORTRANGE(""https://docs.google.com/spreadsheets/d/1ZNYWeiFoFA1K1U4xKWqRX29MBvEyRHXORjo734Gnq_c/edit?usp=share_li"&amp;"nk"",""เชียงราย!J703"")
+IMPORTRANGE(""https://docs.google.com/spreadsheets/d/1Jgv0Y7YlHDtsiDawwp-uvifEJ8HVaSn0k2aGHG8-hwM/edit?usp=share_link"",""เชียงใหม่!J703"")+IMPORTRANGE(""https://docs.google.com/spreadsheets/d/1JWG2rZePOz9pe-f-ObA-yDr0VoOX2kSb0qIi"&amp;"x2mTUo8/edit?usp=share_link"",""ตาก!J703"")+IMPORTRANGE(""https://docs.google.com/spreadsheets/d/10nSRjK08hx8Y6HgSOQKNw81lyY46Zc7U_Cj72hBMp9U/edit?usp=share_link"",""นครสวรรค์!J703"")+IMPORTRANGE(""https://docs.google.com/spreadsheets/d/1gFVb7qd7amutrIxAA"&amp;"oM7lcy35hllxznovot8lyOfvDo/edit?usp=share_link"",""น่าน!J703"")+IMPORTRANGE(""https://docs.google.com/spreadsheets/d/1K0Aa9s-6EuHE5M0FG1F9aHLXRCOV917xvycTdLdct0w/edit?usp=share_link"",""พะเยา!J703"")+IMPORTRANGE(""https://docs.google.com/spreadsheets/d/1Y"&amp;"9LPKx95PyL5OKy09d-KbKJSuuEZCFdkhYjwC0XQjBA/edit?usp=share_link"",""พิจิตร!J703"")+IMPORTRANGE(""https://docs.google.com/spreadsheets/d/16OMuOwy2eVqZcYWOouQtTpa8X1L23h4660uVHc0C8os/edit?usp=share_link"",""พิษณุโลก!J703"")+IMPORTRANGE(""https://docs.google."&amp;"com/spreadsheets/d/1GfgTldLG6k77HXaMQzaafODklYuucJZQNs_GAPEfZyY/edit?usp=share_link"",""เพชรบูรณ์!J703"")+IMPORTRANGE(""https://docs.google.com/spreadsheets/d/1gvTMYAnm7v1yG1BKWFtr0DnaTsq59oW9dwWvFgq6hs0/edit?usp=share_link"",""แพร่!J703"")+IMPORTRANGE("""&amp;"https://docs.google.com/spreadsheets/d/1Wbcosgy-Xa1xXUArJSOenub6EfZHUSzc_bpJFWwQUf0/edit?usp=share_link"",""แม่ฮ่องสอน!J703"")+IMPORTRANGE(""https://docs.google.com/spreadsheets/d/1p7ERhsr0qZeSn-KSOdeHS9r0heI-lHtkcn2OH7hP0jQ/edit?usp=share_link"",""ลำปาง!"&amp;"J703"")+IMPORTRANGE(""https://docs.google.com/spreadsheets/d/1-uUXvimVhiU2U0bMN-xi2te0tS4X7DI2GLPnMjzl8cA/edit?usp=share_link"",""ลำพูน!J703"")+IMPORTRANGE(""https://docs.google.com/spreadsheets/d/17HrOaa5pBUI1onckFfumXB8xlg35qb2uBAFfF1D-Myo/edit?usp=shar"&amp;"e_link"",""สุโขทัย!J703"")+IMPORTRANGE(""https://docs.google.com/spreadsheets/d/1ubs5cl16eYL9gHbdHTJtmtYb9MGzHBs7CAphn8kNCgM/edit?usp=share_link"",""อุตรดิตถ์!J703"")+IMPORTRANGE(""https://docs.google.com/spreadsheets/d/1kII0BjS6CtVrBvI8IrytgPdxDrlyQDyigz"&amp;"MsohRtDMs/edit?usp=share_link"",""อุทัยธานี!J703"")
"),0)</f>
        <v>0</v>
      </c>
      <c r="K703" s="38"/>
      <c r="L703" s="38"/>
      <c r="M703" s="189"/>
      <c r="N703" s="733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11"/>
      <c r="B704" s="540"/>
      <c r="C704" s="540"/>
      <c r="D704" s="540"/>
      <c r="E704" s="540"/>
      <c r="F704" s="540"/>
      <c r="G704" s="189"/>
      <c r="H704" s="182" t="s">
        <v>46</v>
      </c>
      <c r="I704" s="732">
        <f ca="1">IFERROR(__xludf.DUMMYFUNCTION("IMPORTRANGE(""https://docs.google.com/spreadsheets/d/1KxicF4apzSqm0-jIpmueT4kyZtE-Cwn5zskl7GD4loQ/edit?usp=share_link"",""กำแพงเพชร!I704"")+IMPORTRANGE(""https://docs.google.com/spreadsheets/d/1ZNYWeiFoFA1K1U4xKWqRX29MBvEyRHXORjo734Gnq_c/edit?usp=share_li"&amp;"nk"",""เชียงราย!I704"")
+IMPORTRANGE(""https://docs.google.com/spreadsheets/d/1Jgv0Y7YlHDtsiDawwp-uvifEJ8HVaSn0k2aGHG8-hwM/edit?usp=share_link"",""เชียงใหม่!I704"")+IMPORTRANGE(""https://docs.google.com/spreadsheets/d/1JWG2rZePOz9pe-f-ObA-yDr0VoOX2kSb0qIi"&amp;"x2mTUo8/edit?usp=share_link"",""ตาก!I704"")+IMPORTRANGE(""https://docs.google.com/spreadsheets/d/10nSRjK08hx8Y6HgSOQKNw81lyY46Zc7U_Cj72hBMp9U/edit?usp=share_link"",""นครสวรรค์!I704"")+IMPORTRANGE(""https://docs.google.com/spreadsheets/d/1gFVb7qd7amutrIxAA"&amp;"oM7lcy35hllxznovot8lyOfvDo/edit?usp=share_link"",""น่าน!I704"")+IMPORTRANGE(""https://docs.google.com/spreadsheets/d/1K0Aa9s-6EuHE5M0FG1F9aHLXRCOV917xvycTdLdct0w/edit?usp=share_link"",""พะเยา!I704"")+IMPORTRANGE(""https://docs.google.com/spreadsheets/d/1Y"&amp;"9LPKx95PyL5OKy09d-KbKJSuuEZCFdkhYjwC0XQjBA/edit?usp=share_link"",""พิจิตร!I704"")+IMPORTRANGE(""https://docs.google.com/spreadsheets/d/16OMuOwy2eVqZcYWOouQtTpa8X1L23h4660uVHc0C8os/edit?usp=share_link"",""พิษณุโลก!I704"")+IMPORTRANGE(""https://docs.google."&amp;"com/spreadsheets/d/1GfgTldLG6k77HXaMQzaafODklYuucJZQNs_GAPEfZyY/edit?usp=share_link"",""เพชรบูรณ์!I704"")+IMPORTRANGE(""https://docs.google.com/spreadsheets/d/1gvTMYAnm7v1yG1BKWFtr0DnaTsq59oW9dwWvFgq6hs0/edit?usp=share_link"",""แพร่!I704"")+IMPORTRANGE("""&amp;"https://docs.google.com/spreadsheets/d/1Wbcosgy-Xa1xXUArJSOenub6EfZHUSzc_bpJFWwQUf0/edit?usp=share_link"",""แม่ฮ่องสอน!I704"")+IMPORTRANGE(""https://docs.google.com/spreadsheets/d/1p7ERhsr0qZeSn-KSOdeHS9r0heI-lHtkcn2OH7hP0jQ/edit?usp=share_link"",""ลำปาง!"&amp;"I704"")+IMPORTRANGE(""https://docs.google.com/spreadsheets/d/1-uUXvimVhiU2U0bMN-xi2te0tS4X7DI2GLPnMjzl8cA/edit?usp=share_link"",""ลำพูน!I704"")+IMPORTRANGE(""https://docs.google.com/spreadsheets/d/17HrOaa5pBUI1onckFfumXB8xlg35qb2uBAFfF1D-Myo/edit?usp=shar"&amp;"e_link"",""สุโขทัย!I704"")+IMPORTRANGE(""https://docs.google.com/spreadsheets/d/1ubs5cl16eYL9gHbdHTJtmtYb9MGzHBs7CAphn8kNCgM/edit?usp=share_link"",""อุตรดิตถ์!I704"")+IMPORTRANGE(""https://docs.google.com/spreadsheets/d/1kII0BjS6CtVrBvI8IrytgPdxDrlyQDyigz"&amp;"MsohRtDMs/edit?usp=share_link"",""อุทัยธานี!I704"")
"),2021)</f>
        <v>2021</v>
      </c>
      <c r="J704" s="183">
        <f ca="1">IFERROR(__xludf.DUMMYFUNCTION("IMPORTRANGE(""https://docs.google.com/spreadsheets/d/1KxicF4apzSqm0-jIpmueT4kyZtE-Cwn5zskl7GD4loQ/edit?usp=share_link"",""กำแพงเพชร!J704"")+IMPORTRANGE(""https://docs.google.com/spreadsheets/d/1ZNYWeiFoFA1K1U4xKWqRX29MBvEyRHXORjo734Gnq_c/edit?usp=share_li"&amp;"nk"",""เชียงราย!J704"")
+IMPORTRANGE(""https://docs.google.com/spreadsheets/d/1Jgv0Y7YlHDtsiDawwp-uvifEJ8HVaSn0k2aGHG8-hwM/edit?usp=share_link"",""เชียงใหม่!J704"")+IMPORTRANGE(""https://docs.google.com/spreadsheets/d/1JWG2rZePOz9pe-f-ObA-yDr0VoOX2kSb0qIi"&amp;"x2mTUo8/edit?usp=share_link"",""ตาก!J704"")+IMPORTRANGE(""https://docs.google.com/spreadsheets/d/10nSRjK08hx8Y6HgSOQKNw81lyY46Zc7U_Cj72hBMp9U/edit?usp=share_link"",""นครสวรรค์!J704"")+IMPORTRANGE(""https://docs.google.com/spreadsheets/d/1gFVb7qd7amutrIxAA"&amp;"oM7lcy35hllxznovot8lyOfvDo/edit?usp=share_link"",""น่าน!J704"")+IMPORTRANGE(""https://docs.google.com/spreadsheets/d/1K0Aa9s-6EuHE5M0FG1F9aHLXRCOV917xvycTdLdct0w/edit?usp=share_link"",""พะเยา!J704"")+IMPORTRANGE(""https://docs.google.com/spreadsheets/d/1Y"&amp;"9LPKx95PyL5OKy09d-KbKJSuuEZCFdkhYjwC0XQjBA/edit?usp=share_link"",""พิจิตร!J704"")+IMPORTRANGE(""https://docs.google.com/spreadsheets/d/16OMuOwy2eVqZcYWOouQtTpa8X1L23h4660uVHc0C8os/edit?usp=share_link"",""พิษณุโลก!J704"")+IMPORTRANGE(""https://docs.google."&amp;"com/spreadsheets/d/1GfgTldLG6k77HXaMQzaafODklYuucJZQNs_GAPEfZyY/edit?usp=share_link"",""เพชรบูรณ์!J704"")+IMPORTRANGE(""https://docs.google.com/spreadsheets/d/1gvTMYAnm7v1yG1BKWFtr0DnaTsq59oW9dwWvFgq6hs0/edit?usp=share_link"",""แพร่!J704"")+IMPORTRANGE("""&amp;"https://docs.google.com/spreadsheets/d/1Wbcosgy-Xa1xXUArJSOenub6EfZHUSzc_bpJFWwQUf0/edit?usp=share_link"",""แม่ฮ่องสอน!J704"")+IMPORTRANGE(""https://docs.google.com/spreadsheets/d/1p7ERhsr0qZeSn-KSOdeHS9r0heI-lHtkcn2OH7hP0jQ/edit?usp=share_link"",""ลำปาง!"&amp;"J704"")+IMPORTRANGE(""https://docs.google.com/spreadsheets/d/1-uUXvimVhiU2U0bMN-xi2te0tS4X7DI2GLPnMjzl8cA/edit?usp=share_link"",""ลำพูน!J704"")+IMPORTRANGE(""https://docs.google.com/spreadsheets/d/17HrOaa5pBUI1onckFfumXB8xlg35qb2uBAFfF1D-Myo/edit?usp=shar"&amp;"e_link"",""สุโขทัย!J704"")+IMPORTRANGE(""https://docs.google.com/spreadsheets/d/1ubs5cl16eYL9gHbdHTJtmtYb9MGzHBs7CAphn8kNCgM/edit?usp=share_link"",""อุตรดิตถ์!J704"")+IMPORTRANGE(""https://docs.google.com/spreadsheets/d/1kII0BjS6CtVrBvI8IrytgPdxDrlyQDyigz"&amp;"MsohRtDMs/edit?usp=share_link"",""อุทัยธานี!J704"")
"),0)</f>
        <v>0</v>
      </c>
      <c r="K704" s="38"/>
      <c r="L704" s="38"/>
      <c r="M704" s="189"/>
      <c r="N704" s="733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11"/>
      <c r="B705" s="540"/>
      <c r="C705" s="540"/>
      <c r="D705" s="540"/>
      <c r="E705" s="541" t="s">
        <v>298</v>
      </c>
      <c r="F705" s="540"/>
      <c r="G705" s="189"/>
      <c r="H705" s="182" t="s">
        <v>35</v>
      </c>
      <c r="I705" s="732"/>
      <c r="J705" s="183">
        <f ca="1">IFERROR(__xludf.DUMMYFUNCTION("IMPORTRANGE(""https://docs.google.com/spreadsheets/d/1KxicF4apzSqm0-jIpmueT4kyZtE-Cwn5zskl7GD4loQ/edit?usp=share_link"",""กำแพงเพชร!J705"")+IMPORTRANGE(""https://docs.google.com/spreadsheets/d/1ZNYWeiFoFA1K1U4xKWqRX29MBvEyRHXORjo734Gnq_c/edit?usp=share_li"&amp;"nk"",""เชียงราย!J705"")
+IMPORTRANGE(""https://docs.google.com/spreadsheets/d/1Jgv0Y7YlHDtsiDawwp-uvifEJ8HVaSn0k2aGHG8-hwM/edit?usp=share_link"",""เชียงใหม่!J705"")+IMPORTRANGE(""https://docs.google.com/spreadsheets/d/1JWG2rZePOz9pe-f-ObA-yDr0VoOX2kSb0qIi"&amp;"x2mTUo8/edit?usp=share_link"",""ตาก!J705"")+IMPORTRANGE(""https://docs.google.com/spreadsheets/d/10nSRjK08hx8Y6HgSOQKNw81lyY46Zc7U_Cj72hBMp9U/edit?usp=share_link"",""นครสวรรค์!J705"")+IMPORTRANGE(""https://docs.google.com/spreadsheets/d/1gFVb7qd7amutrIxAA"&amp;"oM7lcy35hllxznovot8lyOfvDo/edit?usp=share_link"",""น่าน!J705"")+IMPORTRANGE(""https://docs.google.com/spreadsheets/d/1K0Aa9s-6EuHE5M0FG1F9aHLXRCOV917xvycTdLdct0w/edit?usp=share_link"",""พะเยา!J705"")+IMPORTRANGE(""https://docs.google.com/spreadsheets/d/1Y"&amp;"9LPKx95PyL5OKy09d-KbKJSuuEZCFdkhYjwC0XQjBA/edit?usp=share_link"",""พิจิตร!J705"")+IMPORTRANGE(""https://docs.google.com/spreadsheets/d/16OMuOwy2eVqZcYWOouQtTpa8X1L23h4660uVHc0C8os/edit?usp=share_link"",""พิษณุโลก!J705"")+IMPORTRANGE(""https://docs.google."&amp;"com/spreadsheets/d/1GfgTldLG6k77HXaMQzaafODklYuucJZQNs_GAPEfZyY/edit?usp=share_link"",""เพชรบูรณ์!J705"")+IMPORTRANGE(""https://docs.google.com/spreadsheets/d/1gvTMYAnm7v1yG1BKWFtr0DnaTsq59oW9dwWvFgq6hs0/edit?usp=share_link"",""แพร่!J705"")+IMPORTRANGE("""&amp;"https://docs.google.com/spreadsheets/d/1Wbcosgy-Xa1xXUArJSOenub6EfZHUSzc_bpJFWwQUf0/edit?usp=share_link"",""แม่ฮ่องสอน!J705"")+IMPORTRANGE(""https://docs.google.com/spreadsheets/d/1p7ERhsr0qZeSn-KSOdeHS9r0heI-lHtkcn2OH7hP0jQ/edit?usp=share_link"",""ลำปาง!"&amp;"J705"")+IMPORTRANGE(""https://docs.google.com/spreadsheets/d/1-uUXvimVhiU2U0bMN-xi2te0tS4X7DI2GLPnMjzl8cA/edit?usp=share_link"",""ลำพูน!J705"")+IMPORTRANGE(""https://docs.google.com/spreadsheets/d/17HrOaa5pBUI1onckFfumXB8xlg35qb2uBAFfF1D-Myo/edit?usp=shar"&amp;"e_link"",""สุโขทัย!J705"")+IMPORTRANGE(""https://docs.google.com/spreadsheets/d/1ubs5cl16eYL9gHbdHTJtmtYb9MGzHBs7CAphn8kNCgM/edit?usp=share_link"",""อุตรดิตถ์!J705"")+IMPORTRANGE(""https://docs.google.com/spreadsheets/d/1kII0BjS6CtVrBvI8IrytgPdxDrlyQDyigz"&amp;"MsohRtDMs/edit?usp=share_link"",""อุทัยธานี!J705"")
"),4)</f>
        <v>4</v>
      </c>
      <c r="K705" s="38"/>
      <c r="L705" s="38"/>
      <c r="M705" s="189"/>
      <c r="N705" s="733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11"/>
      <c r="B706" s="540"/>
      <c r="C706" s="540"/>
      <c r="D706" s="540"/>
      <c r="E706" s="540"/>
      <c r="F706" s="540"/>
      <c r="G706" s="189"/>
      <c r="H706" s="182" t="s">
        <v>34</v>
      </c>
      <c r="I706" s="732"/>
      <c r="J706" s="183">
        <f ca="1">IFERROR(__xludf.DUMMYFUNCTION("IMPORTRANGE(""https://docs.google.com/spreadsheets/d/1KxicF4apzSqm0-jIpmueT4kyZtE-Cwn5zskl7GD4loQ/edit?usp=share_link"",""กำแพงเพชร!J706"")+IMPORTRANGE(""https://docs.google.com/spreadsheets/d/1ZNYWeiFoFA1K1U4xKWqRX29MBvEyRHXORjo734Gnq_c/edit?usp=share_li"&amp;"nk"",""เชียงราย!J706"")
+IMPORTRANGE(""https://docs.google.com/spreadsheets/d/1Jgv0Y7YlHDtsiDawwp-uvifEJ8HVaSn0k2aGHG8-hwM/edit?usp=share_link"",""เชียงใหม่!J706"")+IMPORTRANGE(""https://docs.google.com/spreadsheets/d/1JWG2rZePOz9pe-f-ObA-yDr0VoOX2kSb0qIi"&amp;"x2mTUo8/edit?usp=share_link"",""ตาก!J706"")+IMPORTRANGE(""https://docs.google.com/spreadsheets/d/10nSRjK08hx8Y6HgSOQKNw81lyY46Zc7U_Cj72hBMp9U/edit?usp=share_link"",""นครสวรรค์!J706"")+IMPORTRANGE(""https://docs.google.com/spreadsheets/d/1gFVb7qd7amutrIxAA"&amp;"oM7lcy35hllxznovot8lyOfvDo/edit?usp=share_link"",""น่าน!J706"")+IMPORTRANGE(""https://docs.google.com/spreadsheets/d/1K0Aa9s-6EuHE5M0FG1F9aHLXRCOV917xvycTdLdct0w/edit?usp=share_link"",""พะเยา!J706"")+IMPORTRANGE(""https://docs.google.com/spreadsheets/d/1Y"&amp;"9LPKx95PyL5OKy09d-KbKJSuuEZCFdkhYjwC0XQjBA/edit?usp=share_link"",""พิจิตร!J706"")+IMPORTRANGE(""https://docs.google.com/spreadsheets/d/16OMuOwy2eVqZcYWOouQtTpa8X1L23h4660uVHc0C8os/edit?usp=share_link"",""พิษณุโลก!J706"")+IMPORTRANGE(""https://docs.google."&amp;"com/spreadsheets/d/1GfgTldLG6k77HXaMQzaafODklYuucJZQNs_GAPEfZyY/edit?usp=share_link"",""เพชรบูรณ์!J706"")+IMPORTRANGE(""https://docs.google.com/spreadsheets/d/1gvTMYAnm7v1yG1BKWFtr0DnaTsq59oW9dwWvFgq6hs0/edit?usp=share_link"",""แพร่!J706"")+IMPORTRANGE("""&amp;"https://docs.google.com/spreadsheets/d/1Wbcosgy-Xa1xXUArJSOenub6EfZHUSzc_bpJFWwQUf0/edit?usp=share_link"",""แม่ฮ่องสอน!J706"")+IMPORTRANGE(""https://docs.google.com/spreadsheets/d/1p7ERhsr0qZeSn-KSOdeHS9r0heI-lHtkcn2OH7hP0jQ/edit?usp=share_link"",""ลำปาง!"&amp;"J706"")+IMPORTRANGE(""https://docs.google.com/spreadsheets/d/1-uUXvimVhiU2U0bMN-xi2te0tS4X7DI2GLPnMjzl8cA/edit?usp=share_link"",""ลำพูน!J706"")+IMPORTRANGE(""https://docs.google.com/spreadsheets/d/17HrOaa5pBUI1onckFfumXB8xlg35qb2uBAFfF1D-Myo/edit?usp=shar"&amp;"e_link"",""สุโขทัย!J706"")+IMPORTRANGE(""https://docs.google.com/spreadsheets/d/1ubs5cl16eYL9gHbdHTJtmtYb9MGzHBs7CAphn8kNCgM/edit?usp=share_link"",""อุตรดิตถ์!J706"")+IMPORTRANGE(""https://docs.google.com/spreadsheets/d/1kII0BjS6CtVrBvI8IrytgPdxDrlyQDyigz"&amp;"MsohRtDMs/edit?usp=share_link"",""อุทัยธานี!J706"")
"),4)</f>
        <v>4</v>
      </c>
      <c r="K706" s="38"/>
      <c r="L706" s="38"/>
      <c r="M706" s="189"/>
      <c r="N706" s="733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11"/>
      <c r="B707" s="540"/>
      <c r="C707" s="540"/>
      <c r="D707" s="540"/>
      <c r="E707" s="540"/>
      <c r="F707" s="540"/>
      <c r="G707" s="189"/>
      <c r="H707" s="182" t="s">
        <v>46</v>
      </c>
      <c r="I707" s="732">
        <f ca="1">IFERROR(__xludf.DUMMYFUNCTION("IMPORTRANGE(""https://docs.google.com/spreadsheets/d/1KxicF4apzSqm0-jIpmueT4kyZtE-Cwn5zskl7GD4loQ/edit?usp=share_link"",""กำแพงเพชร!I707"")+IMPORTRANGE(""https://docs.google.com/spreadsheets/d/1ZNYWeiFoFA1K1U4xKWqRX29MBvEyRHXORjo734Gnq_c/edit?usp=share_li"&amp;"nk"",""เชียงราย!I707"")
+IMPORTRANGE(""https://docs.google.com/spreadsheets/d/1Jgv0Y7YlHDtsiDawwp-uvifEJ8HVaSn0k2aGHG8-hwM/edit?usp=share_link"",""เชียงใหม่!I707"")+IMPORTRANGE(""https://docs.google.com/spreadsheets/d/1JWG2rZePOz9pe-f-ObA-yDr0VoOX2kSb0qIi"&amp;"x2mTUo8/edit?usp=share_link"",""ตาก!I707"")+IMPORTRANGE(""https://docs.google.com/spreadsheets/d/10nSRjK08hx8Y6HgSOQKNw81lyY46Zc7U_Cj72hBMp9U/edit?usp=share_link"",""นครสวรรค์!I707"")+IMPORTRANGE(""https://docs.google.com/spreadsheets/d/1gFVb7qd7amutrIxAA"&amp;"oM7lcy35hllxznovot8lyOfvDo/edit?usp=share_link"",""น่าน!I707"")+IMPORTRANGE(""https://docs.google.com/spreadsheets/d/1K0Aa9s-6EuHE5M0FG1F9aHLXRCOV917xvycTdLdct0w/edit?usp=share_link"",""พะเยา!I707"")+IMPORTRANGE(""https://docs.google.com/spreadsheets/d/1Y"&amp;"9LPKx95PyL5OKy09d-KbKJSuuEZCFdkhYjwC0XQjBA/edit?usp=share_link"",""พิจิตร!I707"")+IMPORTRANGE(""https://docs.google.com/spreadsheets/d/16OMuOwy2eVqZcYWOouQtTpa8X1L23h4660uVHc0C8os/edit?usp=share_link"",""พิษณุโลก!I707"")+IMPORTRANGE(""https://docs.google."&amp;"com/spreadsheets/d/1GfgTldLG6k77HXaMQzaafODklYuucJZQNs_GAPEfZyY/edit?usp=share_link"",""เพชรบูรณ์!I707"")+IMPORTRANGE(""https://docs.google.com/spreadsheets/d/1gvTMYAnm7v1yG1BKWFtr0DnaTsq59oW9dwWvFgq6hs0/edit?usp=share_link"",""แพร่!I707"")+IMPORTRANGE("""&amp;"https://docs.google.com/spreadsheets/d/1Wbcosgy-Xa1xXUArJSOenub6EfZHUSzc_bpJFWwQUf0/edit?usp=share_link"",""แม่ฮ่องสอน!I707"")+IMPORTRANGE(""https://docs.google.com/spreadsheets/d/1p7ERhsr0qZeSn-KSOdeHS9r0heI-lHtkcn2OH7hP0jQ/edit?usp=share_link"",""ลำปาง!"&amp;"I707"")+IMPORTRANGE(""https://docs.google.com/spreadsheets/d/1-uUXvimVhiU2U0bMN-xi2te0tS4X7DI2GLPnMjzl8cA/edit?usp=share_link"",""ลำพูน!I707"")+IMPORTRANGE(""https://docs.google.com/spreadsheets/d/17HrOaa5pBUI1onckFfumXB8xlg35qb2uBAFfF1D-Myo/edit?usp=shar"&amp;"e_link"",""สุโขทัย!I707"")+IMPORTRANGE(""https://docs.google.com/spreadsheets/d/1ubs5cl16eYL9gHbdHTJtmtYb9MGzHBs7CAphn8kNCgM/edit?usp=share_link"",""อุตรดิตถ์!I707"")+IMPORTRANGE(""https://docs.google.com/spreadsheets/d/1kII0BjS6CtVrBvI8IrytgPdxDrlyQDyigz"&amp;"MsohRtDMs/edit?usp=share_link"",""อุทัยธานี!I707"")
"),67)</f>
        <v>67</v>
      </c>
      <c r="J707" s="183">
        <f ca="1">IFERROR(__xludf.DUMMYFUNCTION("IMPORTRANGE(""https://docs.google.com/spreadsheets/d/1KxicF4apzSqm0-jIpmueT4kyZtE-Cwn5zskl7GD4loQ/edit?usp=share_link"",""กำแพงเพชร!J707"")+IMPORTRANGE(""https://docs.google.com/spreadsheets/d/1ZNYWeiFoFA1K1U4xKWqRX29MBvEyRHXORjo734Gnq_c/edit?usp=share_li"&amp;"nk"",""เชียงราย!J707"")
+IMPORTRANGE(""https://docs.google.com/spreadsheets/d/1Jgv0Y7YlHDtsiDawwp-uvifEJ8HVaSn0k2aGHG8-hwM/edit?usp=share_link"",""เชียงใหม่!J707"")+IMPORTRANGE(""https://docs.google.com/spreadsheets/d/1JWG2rZePOz9pe-f-ObA-yDr0VoOX2kSb0qIi"&amp;"x2mTUo8/edit?usp=share_link"",""ตาก!J707"")+IMPORTRANGE(""https://docs.google.com/spreadsheets/d/10nSRjK08hx8Y6HgSOQKNw81lyY46Zc7U_Cj72hBMp9U/edit?usp=share_link"",""นครสวรรค์!J707"")+IMPORTRANGE(""https://docs.google.com/spreadsheets/d/1gFVb7qd7amutrIxAA"&amp;"oM7lcy35hllxznovot8lyOfvDo/edit?usp=share_link"",""น่าน!J707"")+IMPORTRANGE(""https://docs.google.com/spreadsheets/d/1K0Aa9s-6EuHE5M0FG1F9aHLXRCOV917xvycTdLdct0w/edit?usp=share_link"",""พะเยา!J707"")+IMPORTRANGE(""https://docs.google.com/spreadsheets/d/1Y"&amp;"9LPKx95PyL5OKy09d-KbKJSuuEZCFdkhYjwC0XQjBA/edit?usp=share_link"",""พิจิตร!J707"")+IMPORTRANGE(""https://docs.google.com/spreadsheets/d/16OMuOwy2eVqZcYWOouQtTpa8X1L23h4660uVHc0C8os/edit?usp=share_link"",""พิษณุโลก!J707"")+IMPORTRANGE(""https://docs.google."&amp;"com/spreadsheets/d/1GfgTldLG6k77HXaMQzaafODklYuucJZQNs_GAPEfZyY/edit?usp=share_link"",""เพชรบูรณ์!J707"")+IMPORTRANGE(""https://docs.google.com/spreadsheets/d/1gvTMYAnm7v1yG1BKWFtr0DnaTsq59oW9dwWvFgq6hs0/edit?usp=share_link"",""แพร่!J707"")+IMPORTRANGE("""&amp;"https://docs.google.com/spreadsheets/d/1Wbcosgy-Xa1xXUArJSOenub6EfZHUSzc_bpJFWwQUf0/edit?usp=share_link"",""แม่ฮ่องสอน!J707"")+IMPORTRANGE(""https://docs.google.com/spreadsheets/d/1p7ERhsr0qZeSn-KSOdeHS9r0heI-lHtkcn2OH7hP0jQ/edit?usp=share_link"",""ลำปาง!"&amp;"J707"")+IMPORTRANGE(""https://docs.google.com/spreadsheets/d/1-uUXvimVhiU2U0bMN-xi2te0tS4X7DI2GLPnMjzl8cA/edit?usp=share_link"",""ลำพูน!J707"")+IMPORTRANGE(""https://docs.google.com/spreadsheets/d/17HrOaa5pBUI1onckFfumXB8xlg35qb2uBAFfF1D-Myo/edit?usp=shar"&amp;"e_link"",""สุโขทัย!J707"")+IMPORTRANGE(""https://docs.google.com/spreadsheets/d/1ubs5cl16eYL9gHbdHTJtmtYb9MGzHBs7CAphn8kNCgM/edit?usp=share_link"",""อุตรดิตถ์!J707"")+IMPORTRANGE(""https://docs.google.com/spreadsheets/d/1kII0BjS6CtVrBvI8IrytgPdxDrlyQDyigz"&amp;"MsohRtDMs/edit?usp=share_link"",""อุทัยธานี!J707"")
"),70.0399999999999)</f>
        <v>70.039999999999907</v>
      </c>
      <c r="K707" s="38"/>
      <c r="L707" s="38"/>
      <c r="M707" s="189"/>
      <c r="N707" s="733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11"/>
      <c r="B708" s="540"/>
      <c r="C708" s="540"/>
      <c r="D708" s="736" t="s">
        <v>299</v>
      </c>
      <c r="E708" s="540"/>
      <c r="F708" s="540"/>
      <c r="G708" s="189"/>
      <c r="H708" s="192" t="s">
        <v>46</v>
      </c>
      <c r="I708" s="735">
        <f ca="1">IFERROR(__xludf.DUMMYFUNCTION("IMPORTRANGE(""https://docs.google.com/spreadsheets/d/1KxicF4apzSqm0-jIpmueT4kyZtE-Cwn5zskl7GD4loQ/edit?usp=share_link"",""กำแพงเพชร!I708"")+IMPORTRANGE(""https://docs.google.com/spreadsheets/d/1ZNYWeiFoFA1K1U4xKWqRX29MBvEyRHXORjo734Gnq_c/edit?usp=share_li"&amp;"nk"",""เชียงราย!I708"")
+IMPORTRANGE(""https://docs.google.com/spreadsheets/d/1Jgv0Y7YlHDtsiDawwp-uvifEJ8HVaSn0k2aGHG8-hwM/edit?usp=share_link"",""เชียงใหม่!I708"")+IMPORTRANGE(""https://docs.google.com/spreadsheets/d/1JWG2rZePOz9pe-f-ObA-yDr0VoOX2kSb0qIi"&amp;"x2mTUo8/edit?usp=share_link"",""ตาก!I708"")+IMPORTRANGE(""https://docs.google.com/spreadsheets/d/10nSRjK08hx8Y6HgSOQKNw81lyY46Zc7U_Cj72hBMp9U/edit?usp=share_link"",""นครสวรรค์!I708"")+IMPORTRANGE(""https://docs.google.com/spreadsheets/d/1gFVb7qd7amutrIxAA"&amp;"oM7lcy35hllxznovot8lyOfvDo/edit?usp=share_link"",""น่าน!I708"")+IMPORTRANGE(""https://docs.google.com/spreadsheets/d/1K0Aa9s-6EuHE5M0FG1F9aHLXRCOV917xvycTdLdct0w/edit?usp=share_link"",""พะเยา!I708"")+IMPORTRANGE(""https://docs.google.com/spreadsheets/d/1Y"&amp;"9LPKx95PyL5OKy09d-KbKJSuuEZCFdkhYjwC0XQjBA/edit?usp=share_link"",""พิจิตร!I708"")+IMPORTRANGE(""https://docs.google.com/spreadsheets/d/16OMuOwy2eVqZcYWOouQtTpa8X1L23h4660uVHc0C8os/edit?usp=share_link"",""พิษณุโลก!I708"")+IMPORTRANGE(""https://docs.google."&amp;"com/spreadsheets/d/1GfgTldLG6k77HXaMQzaafODklYuucJZQNs_GAPEfZyY/edit?usp=share_link"",""เพชรบูรณ์!I708"")+IMPORTRANGE(""https://docs.google.com/spreadsheets/d/1gvTMYAnm7v1yG1BKWFtr0DnaTsq59oW9dwWvFgq6hs0/edit?usp=share_link"",""แพร่!I708"")+IMPORTRANGE("""&amp;"https://docs.google.com/spreadsheets/d/1Wbcosgy-Xa1xXUArJSOenub6EfZHUSzc_bpJFWwQUf0/edit?usp=share_link"",""แม่ฮ่องสอน!I708"")+IMPORTRANGE(""https://docs.google.com/spreadsheets/d/1p7ERhsr0qZeSn-KSOdeHS9r0heI-lHtkcn2OH7hP0jQ/edit?usp=share_link"",""ลำปาง!"&amp;"I708"")+IMPORTRANGE(""https://docs.google.com/spreadsheets/d/1-uUXvimVhiU2U0bMN-xi2te0tS4X7DI2GLPnMjzl8cA/edit?usp=share_link"",""ลำพูน!I708"")+IMPORTRANGE(""https://docs.google.com/spreadsheets/d/17HrOaa5pBUI1onckFfumXB8xlg35qb2uBAFfF1D-Myo/edit?usp=shar"&amp;"e_link"",""สุโขทัย!I708"")+IMPORTRANGE(""https://docs.google.com/spreadsheets/d/1ubs5cl16eYL9gHbdHTJtmtYb9MGzHBs7CAphn8kNCgM/edit?usp=share_link"",""อุตรดิตถ์!I708"")+IMPORTRANGE(""https://docs.google.com/spreadsheets/d/1kII0BjS6CtVrBvI8IrytgPdxDrlyQDyigz"&amp;"MsohRtDMs/edit?usp=share_link"",""อุทัยธานี!I708"")
"),2246)</f>
        <v>2246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33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11"/>
      <c r="B709" s="540"/>
      <c r="C709" s="540"/>
      <c r="D709" s="540"/>
      <c r="E709" s="541" t="s">
        <v>300</v>
      </c>
      <c r="F709" s="540"/>
      <c r="G709" s="189"/>
      <c r="H709" s="182" t="s">
        <v>34</v>
      </c>
      <c r="I709" s="732"/>
      <c r="J709" s="183">
        <f ca="1">IFERROR(__xludf.DUMMYFUNCTION("IMPORTRANGE(""https://docs.google.com/spreadsheets/d/1KxicF4apzSqm0-jIpmueT4kyZtE-Cwn5zskl7GD4loQ/edit?usp=share_link"",""กำแพงเพชร!J709"")+IMPORTRANGE(""https://docs.google.com/spreadsheets/d/1ZNYWeiFoFA1K1U4xKWqRX29MBvEyRHXORjo734Gnq_c/edit?usp=share_li"&amp;"nk"",""เชียงราย!J709"")
+IMPORTRANGE(""https://docs.google.com/spreadsheets/d/1Jgv0Y7YlHDtsiDawwp-uvifEJ8HVaSn0k2aGHG8-hwM/edit?usp=share_link"",""เชียงใหม่!J709"")+IMPORTRANGE(""https://docs.google.com/spreadsheets/d/1JWG2rZePOz9pe-f-ObA-yDr0VoOX2kSb0qIi"&amp;"x2mTUo8/edit?usp=share_link"",""ตาก!J709"")+IMPORTRANGE(""https://docs.google.com/spreadsheets/d/10nSRjK08hx8Y6HgSOQKNw81lyY46Zc7U_Cj72hBMp9U/edit?usp=share_link"",""นครสวรรค์!J709"")+IMPORTRANGE(""https://docs.google.com/spreadsheets/d/1gFVb7qd7amutrIxAA"&amp;"oM7lcy35hllxznovot8lyOfvDo/edit?usp=share_link"",""น่าน!J709"")+IMPORTRANGE(""https://docs.google.com/spreadsheets/d/1K0Aa9s-6EuHE5M0FG1F9aHLXRCOV917xvycTdLdct0w/edit?usp=share_link"",""พะเยา!J709"")+IMPORTRANGE(""https://docs.google.com/spreadsheets/d/1Y"&amp;"9LPKx95PyL5OKy09d-KbKJSuuEZCFdkhYjwC0XQjBA/edit?usp=share_link"",""พิจิตร!J709"")+IMPORTRANGE(""https://docs.google.com/spreadsheets/d/16OMuOwy2eVqZcYWOouQtTpa8X1L23h4660uVHc0C8os/edit?usp=share_link"",""พิษณุโลก!J709"")+IMPORTRANGE(""https://docs.google."&amp;"com/spreadsheets/d/1GfgTldLG6k77HXaMQzaafODklYuucJZQNs_GAPEfZyY/edit?usp=share_link"",""เพชรบูรณ์!J709"")+IMPORTRANGE(""https://docs.google.com/spreadsheets/d/1gvTMYAnm7v1yG1BKWFtr0DnaTsq59oW9dwWvFgq6hs0/edit?usp=share_link"",""แพร่!J709"")+IMPORTRANGE("""&amp;"https://docs.google.com/spreadsheets/d/1Wbcosgy-Xa1xXUArJSOenub6EfZHUSzc_bpJFWwQUf0/edit?usp=share_link"",""แม่ฮ่องสอน!J709"")+IMPORTRANGE(""https://docs.google.com/spreadsheets/d/1p7ERhsr0qZeSn-KSOdeHS9r0heI-lHtkcn2OH7hP0jQ/edit?usp=share_link"",""ลำปาง!"&amp;"J709"")+IMPORTRANGE(""https://docs.google.com/spreadsheets/d/1-uUXvimVhiU2U0bMN-xi2te0tS4X7DI2GLPnMjzl8cA/edit?usp=share_link"",""ลำพูน!J709"")+IMPORTRANGE(""https://docs.google.com/spreadsheets/d/17HrOaa5pBUI1onckFfumXB8xlg35qb2uBAFfF1D-Myo/edit?usp=shar"&amp;"e_link"",""สุโขทัย!J709"")+IMPORTRANGE(""https://docs.google.com/spreadsheets/d/1ubs5cl16eYL9gHbdHTJtmtYb9MGzHBs7CAphn8kNCgM/edit?usp=share_link"",""อุตรดิตถ์!J709"")+IMPORTRANGE(""https://docs.google.com/spreadsheets/d/1kII0BjS6CtVrBvI8IrytgPdxDrlyQDyigz"&amp;"MsohRtDMs/edit?usp=share_link"",""อุทัยธานี!J709"")
"),0)</f>
        <v>0</v>
      </c>
      <c r="K709" s="38"/>
      <c r="L709" s="733"/>
      <c r="M709" s="189"/>
      <c r="N709" s="733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11"/>
      <c r="B710" s="540"/>
      <c r="C710" s="540"/>
      <c r="D710" s="540"/>
      <c r="E710" s="540"/>
      <c r="F710" s="540"/>
      <c r="G710" s="189"/>
      <c r="H710" s="182" t="s">
        <v>46</v>
      </c>
      <c r="I710" s="732"/>
      <c r="J710" s="183">
        <f ca="1">IFERROR(__xludf.DUMMYFUNCTION("IMPORTRANGE(""https://docs.google.com/spreadsheets/d/1KxicF4apzSqm0-jIpmueT4kyZtE-Cwn5zskl7GD4loQ/edit?usp=share_link"",""กำแพงเพชร!J710"")+IMPORTRANGE(""https://docs.google.com/spreadsheets/d/1ZNYWeiFoFA1K1U4xKWqRX29MBvEyRHXORjo734Gnq_c/edit?usp=share_li"&amp;"nk"",""เชียงราย!J710"")
+IMPORTRANGE(""https://docs.google.com/spreadsheets/d/1Jgv0Y7YlHDtsiDawwp-uvifEJ8HVaSn0k2aGHG8-hwM/edit?usp=share_link"",""เชียงใหม่!J710"")+IMPORTRANGE(""https://docs.google.com/spreadsheets/d/1JWG2rZePOz9pe-f-ObA-yDr0VoOX2kSb0qIi"&amp;"x2mTUo8/edit?usp=share_link"",""ตาก!J710"")+IMPORTRANGE(""https://docs.google.com/spreadsheets/d/10nSRjK08hx8Y6HgSOQKNw81lyY46Zc7U_Cj72hBMp9U/edit?usp=share_link"",""นครสวรรค์!J710"")+IMPORTRANGE(""https://docs.google.com/spreadsheets/d/1gFVb7qd7amutrIxAA"&amp;"oM7lcy35hllxznovot8lyOfvDo/edit?usp=share_link"",""น่าน!J710"")+IMPORTRANGE(""https://docs.google.com/spreadsheets/d/1K0Aa9s-6EuHE5M0FG1F9aHLXRCOV917xvycTdLdct0w/edit?usp=share_link"",""พะเยา!J710"")+IMPORTRANGE(""https://docs.google.com/spreadsheets/d/1Y"&amp;"9LPKx95PyL5OKy09d-KbKJSuuEZCFdkhYjwC0XQjBA/edit?usp=share_link"",""พิจิตร!J710"")+IMPORTRANGE(""https://docs.google.com/spreadsheets/d/16OMuOwy2eVqZcYWOouQtTpa8X1L23h4660uVHc0C8os/edit?usp=share_link"",""พิษณุโลก!J710"")+IMPORTRANGE(""https://docs.google."&amp;"com/spreadsheets/d/1GfgTldLG6k77HXaMQzaafODklYuucJZQNs_GAPEfZyY/edit?usp=share_link"",""เพชรบูรณ์!J710"")+IMPORTRANGE(""https://docs.google.com/spreadsheets/d/1gvTMYAnm7v1yG1BKWFtr0DnaTsq59oW9dwWvFgq6hs0/edit?usp=share_link"",""แพร่!J710"")+IMPORTRANGE("""&amp;"https://docs.google.com/spreadsheets/d/1Wbcosgy-Xa1xXUArJSOenub6EfZHUSzc_bpJFWwQUf0/edit?usp=share_link"",""แม่ฮ่องสอน!J710"")+IMPORTRANGE(""https://docs.google.com/spreadsheets/d/1p7ERhsr0qZeSn-KSOdeHS9r0heI-lHtkcn2OH7hP0jQ/edit?usp=share_link"",""ลำปาง!"&amp;"J710"")+IMPORTRANGE(""https://docs.google.com/spreadsheets/d/1-uUXvimVhiU2U0bMN-xi2te0tS4X7DI2GLPnMjzl8cA/edit?usp=share_link"",""ลำพูน!J710"")+IMPORTRANGE(""https://docs.google.com/spreadsheets/d/17HrOaa5pBUI1onckFfumXB8xlg35qb2uBAFfF1D-Myo/edit?usp=shar"&amp;"e_link"",""สุโขทัย!J710"")+IMPORTRANGE(""https://docs.google.com/spreadsheets/d/1ubs5cl16eYL9gHbdHTJtmtYb9MGzHBs7CAphn8kNCgM/edit?usp=share_link"",""อุตรดิตถ์!J710"")+IMPORTRANGE(""https://docs.google.com/spreadsheets/d/1kII0BjS6CtVrBvI8IrytgPdxDrlyQDyigz"&amp;"MsohRtDMs/edit?usp=share_link"",""อุทัยธานี!J710"")
"),0)</f>
        <v>0</v>
      </c>
      <c r="K710" s="38"/>
      <c r="L710" s="733"/>
      <c r="M710" s="189"/>
      <c r="N710" s="733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11"/>
      <c r="B711" s="540"/>
      <c r="C711" s="540"/>
      <c r="D711" s="540"/>
      <c r="E711" s="541" t="s">
        <v>301</v>
      </c>
      <c r="F711" s="540"/>
      <c r="G711" s="189"/>
      <c r="H711" s="175"/>
      <c r="I711" s="732"/>
      <c r="J711" s="37"/>
      <c r="K711" s="38"/>
      <c r="L711" s="733"/>
      <c r="M711" s="189"/>
      <c r="N711" s="733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11"/>
      <c r="B712" s="540"/>
      <c r="C712" s="540"/>
      <c r="D712" s="540"/>
      <c r="E712" s="540"/>
      <c r="F712" s="541" t="s">
        <v>302</v>
      </c>
      <c r="G712" s="189"/>
      <c r="H712" s="182" t="s">
        <v>35</v>
      </c>
      <c r="I712" s="732"/>
      <c r="J712" s="183">
        <f ca="1">IFERROR(__xludf.DUMMYFUNCTION("IMPORTRANGE(""https://docs.google.com/spreadsheets/d/1KxicF4apzSqm0-jIpmueT4kyZtE-Cwn5zskl7GD4loQ/edit?usp=share_link"",""กำแพงเพชร!J712"")+IMPORTRANGE(""https://docs.google.com/spreadsheets/d/1ZNYWeiFoFA1K1U4xKWqRX29MBvEyRHXORjo734Gnq_c/edit?usp=share_li"&amp;"nk"",""เชียงราย!J712"")
+IMPORTRANGE(""https://docs.google.com/spreadsheets/d/1Jgv0Y7YlHDtsiDawwp-uvifEJ8HVaSn0k2aGHG8-hwM/edit?usp=share_link"",""เชียงใหม่!J712"")+IMPORTRANGE(""https://docs.google.com/spreadsheets/d/1JWG2rZePOz9pe-f-ObA-yDr0VoOX2kSb0qIi"&amp;"x2mTUo8/edit?usp=share_link"",""ตาก!J712"")+IMPORTRANGE(""https://docs.google.com/spreadsheets/d/10nSRjK08hx8Y6HgSOQKNw81lyY46Zc7U_Cj72hBMp9U/edit?usp=share_link"",""นครสวรรค์!J712"")+IMPORTRANGE(""https://docs.google.com/spreadsheets/d/1gFVb7qd7amutrIxAA"&amp;"oM7lcy35hllxznovot8lyOfvDo/edit?usp=share_link"",""น่าน!J712"")+IMPORTRANGE(""https://docs.google.com/spreadsheets/d/1K0Aa9s-6EuHE5M0FG1F9aHLXRCOV917xvycTdLdct0w/edit?usp=share_link"",""พะเยา!J712"")+IMPORTRANGE(""https://docs.google.com/spreadsheets/d/1Y"&amp;"9LPKx95PyL5OKy09d-KbKJSuuEZCFdkhYjwC0XQjBA/edit?usp=share_link"",""พิจิตร!J712"")+IMPORTRANGE(""https://docs.google.com/spreadsheets/d/16OMuOwy2eVqZcYWOouQtTpa8X1L23h4660uVHc0C8os/edit?usp=share_link"",""พิษณุโลก!J712"")+IMPORTRANGE(""https://docs.google."&amp;"com/spreadsheets/d/1GfgTldLG6k77HXaMQzaafODklYuucJZQNs_GAPEfZyY/edit?usp=share_link"",""เพชรบูรณ์!J712"")+IMPORTRANGE(""https://docs.google.com/spreadsheets/d/1gvTMYAnm7v1yG1BKWFtr0DnaTsq59oW9dwWvFgq6hs0/edit?usp=share_link"",""แพร่!J712"")+IMPORTRANGE("""&amp;"https://docs.google.com/spreadsheets/d/1Wbcosgy-Xa1xXUArJSOenub6EfZHUSzc_bpJFWwQUf0/edit?usp=share_link"",""แม่ฮ่องสอน!J712"")+IMPORTRANGE(""https://docs.google.com/spreadsheets/d/1p7ERhsr0qZeSn-KSOdeHS9r0heI-lHtkcn2OH7hP0jQ/edit?usp=share_link"",""ลำปาง!"&amp;"J712"")+IMPORTRANGE(""https://docs.google.com/spreadsheets/d/1-uUXvimVhiU2U0bMN-xi2te0tS4X7DI2GLPnMjzl8cA/edit?usp=share_link"",""ลำพูน!J712"")+IMPORTRANGE(""https://docs.google.com/spreadsheets/d/17HrOaa5pBUI1onckFfumXB8xlg35qb2uBAFfF1D-Myo/edit?usp=shar"&amp;"e_link"",""สุโขทัย!J712"")+IMPORTRANGE(""https://docs.google.com/spreadsheets/d/1ubs5cl16eYL9gHbdHTJtmtYb9MGzHBs7CAphn8kNCgM/edit?usp=share_link"",""อุตรดิตถ์!J712"")+IMPORTRANGE(""https://docs.google.com/spreadsheets/d/1kII0BjS6CtVrBvI8IrytgPdxDrlyQDyigz"&amp;"MsohRtDMs/edit?usp=share_link"",""อุทัยธานี!J712"")
"),0)</f>
        <v>0</v>
      </c>
      <c r="K712" s="38"/>
      <c r="L712" s="733"/>
      <c r="M712" s="189"/>
      <c r="N712" s="733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11"/>
      <c r="B713" s="540"/>
      <c r="C713" s="540"/>
      <c r="D713" s="540"/>
      <c r="E713" s="540"/>
      <c r="F713" s="540"/>
      <c r="G713" s="189"/>
      <c r="H713" s="182" t="s">
        <v>34</v>
      </c>
      <c r="I713" s="732"/>
      <c r="J713" s="183">
        <f ca="1">IFERROR(__xludf.DUMMYFUNCTION("IMPORTRANGE(""https://docs.google.com/spreadsheets/d/1KxicF4apzSqm0-jIpmueT4kyZtE-Cwn5zskl7GD4loQ/edit?usp=share_link"",""กำแพงเพชร!J713"")+IMPORTRANGE(""https://docs.google.com/spreadsheets/d/1ZNYWeiFoFA1K1U4xKWqRX29MBvEyRHXORjo734Gnq_c/edit?usp=share_li"&amp;"nk"",""เชียงราย!J713"")
+IMPORTRANGE(""https://docs.google.com/spreadsheets/d/1Jgv0Y7YlHDtsiDawwp-uvifEJ8HVaSn0k2aGHG8-hwM/edit?usp=share_link"",""เชียงใหม่!J713"")+IMPORTRANGE(""https://docs.google.com/spreadsheets/d/1JWG2rZePOz9pe-f-ObA-yDr0VoOX2kSb0qIi"&amp;"x2mTUo8/edit?usp=share_link"",""ตาก!J713"")+IMPORTRANGE(""https://docs.google.com/spreadsheets/d/10nSRjK08hx8Y6HgSOQKNw81lyY46Zc7U_Cj72hBMp9U/edit?usp=share_link"",""นครสวรรค์!J713"")+IMPORTRANGE(""https://docs.google.com/spreadsheets/d/1gFVb7qd7amutrIxAA"&amp;"oM7lcy35hllxznovot8lyOfvDo/edit?usp=share_link"",""น่าน!J713"")+IMPORTRANGE(""https://docs.google.com/spreadsheets/d/1K0Aa9s-6EuHE5M0FG1F9aHLXRCOV917xvycTdLdct0w/edit?usp=share_link"",""พะเยา!J713"")+IMPORTRANGE(""https://docs.google.com/spreadsheets/d/1Y"&amp;"9LPKx95PyL5OKy09d-KbKJSuuEZCFdkhYjwC0XQjBA/edit?usp=share_link"",""พิจิตร!J713"")+IMPORTRANGE(""https://docs.google.com/spreadsheets/d/16OMuOwy2eVqZcYWOouQtTpa8X1L23h4660uVHc0C8os/edit?usp=share_link"",""พิษณุโลก!J713"")+IMPORTRANGE(""https://docs.google."&amp;"com/spreadsheets/d/1GfgTldLG6k77HXaMQzaafODklYuucJZQNs_GAPEfZyY/edit?usp=share_link"",""เพชรบูรณ์!J713"")+IMPORTRANGE(""https://docs.google.com/spreadsheets/d/1gvTMYAnm7v1yG1BKWFtr0DnaTsq59oW9dwWvFgq6hs0/edit?usp=share_link"",""แพร่!J713"")+IMPORTRANGE("""&amp;"https://docs.google.com/spreadsheets/d/1Wbcosgy-Xa1xXUArJSOenub6EfZHUSzc_bpJFWwQUf0/edit?usp=share_link"",""แม่ฮ่องสอน!J713"")+IMPORTRANGE(""https://docs.google.com/spreadsheets/d/1p7ERhsr0qZeSn-KSOdeHS9r0heI-lHtkcn2OH7hP0jQ/edit?usp=share_link"",""ลำปาง!"&amp;"J713"")+IMPORTRANGE(""https://docs.google.com/spreadsheets/d/1-uUXvimVhiU2U0bMN-xi2te0tS4X7DI2GLPnMjzl8cA/edit?usp=share_link"",""ลำพูน!J713"")+IMPORTRANGE(""https://docs.google.com/spreadsheets/d/17HrOaa5pBUI1onckFfumXB8xlg35qb2uBAFfF1D-Myo/edit?usp=shar"&amp;"e_link"",""สุโขทัย!J713"")+IMPORTRANGE(""https://docs.google.com/spreadsheets/d/1ubs5cl16eYL9gHbdHTJtmtYb9MGzHBs7CAphn8kNCgM/edit?usp=share_link"",""อุตรดิตถ์!J713"")+IMPORTRANGE(""https://docs.google.com/spreadsheets/d/1kII0BjS6CtVrBvI8IrytgPdxDrlyQDyigz"&amp;"MsohRtDMs/edit?usp=share_link"",""อุทัยธานี!J713"")
"),0)</f>
        <v>0</v>
      </c>
      <c r="K713" s="38"/>
      <c r="L713" s="733"/>
      <c r="M713" s="189"/>
      <c r="N713" s="733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11"/>
      <c r="B714" s="540"/>
      <c r="C714" s="540"/>
      <c r="D714" s="540"/>
      <c r="E714" s="540"/>
      <c r="F714" s="540"/>
      <c r="G714" s="189"/>
      <c r="H714" s="182" t="s">
        <v>46</v>
      </c>
      <c r="I714" s="732"/>
      <c r="J714" s="183">
        <f ca="1">IFERROR(__xludf.DUMMYFUNCTION("IMPORTRANGE(""https://docs.google.com/spreadsheets/d/1KxicF4apzSqm0-jIpmueT4kyZtE-Cwn5zskl7GD4loQ/edit?usp=share_link"",""กำแพงเพชร!J714"")+IMPORTRANGE(""https://docs.google.com/spreadsheets/d/1ZNYWeiFoFA1K1U4xKWqRX29MBvEyRHXORjo734Gnq_c/edit?usp=share_li"&amp;"nk"",""เชียงราย!J714"")
+IMPORTRANGE(""https://docs.google.com/spreadsheets/d/1Jgv0Y7YlHDtsiDawwp-uvifEJ8HVaSn0k2aGHG8-hwM/edit?usp=share_link"",""เชียงใหม่!J714"")+IMPORTRANGE(""https://docs.google.com/spreadsheets/d/1JWG2rZePOz9pe-f-ObA-yDr0VoOX2kSb0qIi"&amp;"x2mTUo8/edit?usp=share_link"",""ตาก!J714"")+IMPORTRANGE(""https://docs.google.com/spreadsheets/d/10nSRjK08hx8Y6HgSOQKNw81lyY46Zc7U_Cj72hBMp9U/edit?usp=share_link"",""นครสวรรค์!J714"")+IMPORTRANGE(""https://docs.google.com/spreadsheets/d/1gFVb7qd7amutrIxAA"&amp;"oM7lcy35hllxznovot8lyOfvDo/edit?usp=share_link"",""น่าน!J714"")+IMPORTRANGE(""https://docs.google.com/spreadsheets/d/1K0Aa9s-6EuHE5M0FG1F9aHLXRCOV917xvycTdLdct0w/edit?usp=share_link"",""พะเยา!J714"")+IMPORTRANGE(""https://docs.google.com/spreadsheets/d/1Y"&amp;"9LPKx95PyL5OKy09d-KbKJSuuEZCFdkhYjwC0XQjBA/edit?usp=share_link"",""พิจิตร!J714"")+IMPORTRANGE(""https://docs.google.com/spreadsheets/d/16OMuOwy2eVqZcYWOouQtTpa8X1L23h4660uVHc0C8os/edit?usp=share_link"",""พิษณุโลก!J714"")+IMPORTRANGE(""https://docs.google."&amp;"com/spreadsheets/d/1GfgTldLG6k77HXaMQzaafODklYuucJZQNs_GAPEfZyY/edit?usp=share_link"",""เพชรบูรณ์!J714"")+IMPORTRANGE(""https://docs.google.com/spreadsheets/d/1gvTMYAnm7v1yG1BKWFtr0DnaTsq59oW9dwWvFgq6hs0/edit?usp=share_link"",""แพร่!J714"")+IMPORTRANGE("""&amp;"https://docs.google.com/spreadsheets/d/1Wbcosgy-Xa1xXUArJSOenub6EfZHUSzc_bpJFWwQUf0/edit?usp=share_link"",""แม่ฮ่องสอน!J714"")+IMPORTRANGE(""https://docs.google.com/spreadsheets/d/1p7ERhsr0qZeSn-KSOdeHS9r0heI-lHtkcn2OH7hP0jQ/edit?usp=share_link"",""ลำปาง!"&amp;"J714"")+IMPORTRANGE(""https://docs.google.com/spreadsheets/d/1-uUXvimVhiU2U0bMN-xi2te0tS4X7DI2GLPnMjzl8cA/edit?usp=share_link"",""ลำพูน!J714"")+IMPORTRANGE(""https://docs.google.com/spreadsheets/d/17HrOaa5pBUI1onckFfumXB8xlg35qb2uBAFfF1D-Myo/edit?usp=shar"&amp;"e_link"",""สุโขทัย!J714"")+IMPORTRANGE(""https://docs.google.com/spreadsheets/d/1ubs5cl16eYL9gHbdHTJtmtYb9MGzHBs7CAphn8kNCgM/edit?usp=share_link"",""อุตรดิตถ์!J714"")+IMPORTRANGE(""https://docs.google.com/spreadsheets/d/1kII0BjS6CtVrBvI8IrytgPdxDrlyQDyigz"&amp;"MsohRtDMs/edit?usp=share_link"",""อุทัยธานี!J714"")
"),0)</f>
        <v>0</v>
      </c>
      <c r="K714" s="38"/>
      <c r="L714" s="733"/>
      <c r="M714" s="189"/>
      <c r="N714" s="733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11"/>
      <c r="B715" s="540"/>
      <c r="C715" s="540"/>
      <c r="D715" s="540"/>
      <c r="E715" s="540"/>
      <c r="F715" s="541" t="s">
        <v>303</v>
      </c>
      <c r="G715" s="189"/>
      <c r="H715" s="182" t="s">
        <v>35</v>
      </c>
      <c r="I715" s="732"/>
      <c r="J715" s="183">
        <f ca="1">IFERROR(__xludf.DUMMYFUNCTION("IMPORTRANGE(""https://docs.google.com/spreadsheets/d/1KxicF4apzSqm0-jIpmueT4kyZtE-Cwn5zskl7GD4loQ/edit?usp=share_link"",""กำแพงเพชร!J715"")+IMPORTRANGE(""https://docs.google.com/spreadsheets/d/1ZNYWeiFoFA1K1U4xKWqRX29MBvEyRHXORjo734Gnq_c/edit?usp=share_li"&amp;"nk"",""เชียงราย!J715"")
+IMPORTRANGE(""https://docs.google.com/spreadsheets/d/1Jgv0Y7YlHDtsiDawwp-uvifEJ8HVaSn0k2aGHG8-hwM/edit?usp=share_link"",""เชียงใหม่!J715"")+IMPORTRANGE(""https://docs.google.com/spreadsheets/d/1JWG2rZePOz9pe-f-ObA-yDr0VoOX2kSb0qIi"&amp;"x2mTUo8/edit?usp=share_link"",""ตาก!J715"")+IMPORTRANGE(""https://docs.google.com/spreadsheets/d/10nSRjK08hx8Y6HgSOQKNw81lyY46Zc7U_Cj72hBMp9U/edit?usp=share_link"",""นครสวรรค์!J715"")+IMPORTRANGE(""https://docs.google.com/spreadsheets/d/1gFVb7qd7amutrIxAA"&amp;"oM7lcy35hllxznovot8lyOfvDo/edit?usp=share_link"",""น่าน!J715"")+IMPORTRANGE(""https://docs.google.com/spreadsheets/d/1K0Aa9s-6EuHE5M0FG1F9aHLXRCOV917xvycTdLdct0w/edit?usp=share_link"",""พะเยา!J715"")+IMPORTRANGE(""https://docs.google.com/spreadsheets/d/1Y"&amp;"9LPKx95PyL5OKy09d-KbKJSuuEZCFdkhYjwC0XQjBA/edit?usp=share_link"",""พิจิตร!J715"")+IMPORTRANGE(""https://docs.google.com/spreadsheets/d/16OMuOwy2eVqZcYWOouQtTpa8X1L23h4660uVHc0C8os/edit?usp=share_link"",""พิษณุโลก!J715"")+IMPORTRANGE(""https://docs.google."&amp;"com/spreadsheets/d/1GfgTldLG6k77HXaMQzaafODklYuucJZQNs_GAPEfZyY/edit?usp=share_link"",""เพชรบูรณ์!J715"")+IMPORTRANGE(""https://docs.google.com/spreadsheets/d/1gvTMYAnm7v1yG1BKWFtr0DnaTsq59oW9dwWvFgq6hs0/edit?usp=share_link"",""แพร่!J715"")+IMPORTRANGE("""&amp;"https://docs.google.com/spreadsheets/d/1Wbcosgy-Xa1xXUArJSOenub6EfZHUSzc_bpJFWwQUf0/edit?usp=share_link"",""แม่ฮ่องสอน!J715"")+IMPORTRANGE(""https://docs.google.com/spreadsheets/d/1p7ERhsr0qZeSn-KSOdeHS9r0heI-lHtkcn2OH7hP0jQ/edit?usp=share_link"",""ลำปาง!"&amp;"J715"")+IMPORTRANGE(""https://docs.google.com/spreadsheets/d/1-uUXvimVhiU2U0bMN-xi2te0tS4X7DI2GLPnMjzl8cA/edit?usp=share_link"",""ลำพูน!J715"")+IMPORTRANGE(""https://docs.google.com/spreadsheets/d/17HrOaa5pBUI1onckFfumXB8xlg35qb2uBAFfF1D-Myo/edit?usp=shar"&amp;"e_link"",""สุโขทัย!J715"")+IMPORTRANGE(""https://docs.google.com/spreadsheets/d/1ubs5cl16eYL9gHbdHTJtmtYb9MGzHBs7CAphn8kNCgM/edit?usp=share_link"",""อุตรดิตถ์!J715"")+IMPORTRANGE(""https://docs.google.com/spreadsheets/d/1kII0BjS6CtVrBvI8IrytgPdxDrlyQDyigz"&amp;"MsohRtDMs/edit?usp=share_link"",""อุทัยธานี!J715"")
"),0)</f>
        <v>0</v>
      </c>
      <c r="K715" s="38"/>
      <c r="L715" s="733"/>
      <c r="M715" s="189"/>
      <c r="N715" s="733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11"/>
      <c r="B716" s="540"/>
      <c r="C716" s="540"/>
      <c r="D716" s="540"/>
      <c r="E716" s="540"/>
      <c r="F716" s="540"/>
      <c r="G716" s="189"/>
      <c r="H716" s="182" t="s">
        <v>34</v>
      </c>
      <c r="I716" s="732"/>
      <c r="J716" s="183">
        <f ca="1">IFERROR(__xludf.DUMMYFUNCTION("IMPORTRANGE(""https://docs.google.com/spreadsheets/d/1KxicF4apzSqm0-jIpmueT4kyZtE-Cwn5zskl7GD4loQ/edit?usp=share_link"",""กำแพงเพชร!J716"")+IMPORTRANGE(""https://docs.google.com/spreadsheets/d/1ZNYWeiFoFA1K1U4xKWqRX29MBvEyRHXORjo734Gnq_c/edit?usp=share_li"&amp;"nk"",""เชียงราย!J716"")
+IMPORTRANGE(""https://docs.google.com/spreadsheets/d/1Jgv0Y7YlHDtsiDawwp-uvifEJ8HVaSn0k2aGHG8-hwM/edit?usp=share_link"",""เชียงใหม่!J716"")+IMPORTRANGE(""https://docs.google.com/spreadsheets/d/1JWG2rZePOz9pe-f-ObA-yDr0VoOX2kSb0qIi"&amp;"x2mTUo8/edit?usp=share_link"",""ตาก!J716"")+IMPORTRANGE(""https://docs.google.com/spreadsheets/d/10nSRjK08hx8Y6HgSOQKNw81lyY46Zc7U_Cj72hBMp9U/edit?usp=share_link"",""นครสวรรค์!J716"")+IMPORTRANGE(""https://docs.google.com/spreadsheets/d/1gFVb7qd7amutrIxAA"&amp;"oM7lcy35hllxznovot8lyOfvDo/edit?usp=share_link"",""น่าน!J716"")+IMPORTRANGE(""https://docs.google.com/spreadsheets/d/1K0Aa9s-6EuHE5M0FG1F9aHLXRCOV917xvycTdLdct0w/edit?usp=share_link"",""พะเยา!J716"")+IMPORTRANGE(""https://docs.google.com/spreadsheets/d/1Y"&amp;"9LPKx95PyL5OKy09d-KbKJSuuEZCFdkhYjwC0XQjBA/edit?usp=share_link"",""พิจิตร!J716"")+IMPORTRANGE(""https://docs.google.com/spreadsheets/d/16OMuOwy2eVqZcYWOouQtTpa8X1L23h4660uVHc0C8os/edit?usp=share_link"",""พิษณุโลก!J716"")+IMPORTRANGE(""https://docs.google."&amp;"com/spreadsheets/d/1GfgTldLG6k77HXaMQzaafODklYuucJZQNs_GAPEfZyY/edit?usp=share_link"",""เพชรบูรณ์!J716"")+IMPORTRANGE(""https://docs.google.com/spreadsheets/d/1gvTMYAnm7v1yG1BKWFtr0DnaTsq59oW9dwWvFgq6hs0/edit?usp=share_link"",""แพร่!J716"")+IMPORTRANGE("""&amp;"https://docs.google.com/spreadsheets/d/1Wbcosgy-Xa1xXUArJSOenub6EfZHUSzc_bpJFWwQUf0/edit?usp=share_link"",""แม่ฮ่องสอน!J716"")+IMPORTRANGE(""https://docs.google.com/spreadsheets/d/1p7ERhsr0qZeSn-KSOdeHS9r0heI-lHtkcn2OH7hP0jQ/edit?usp=share_link"",""ลำปาง!"&amp;"J716"")+IMPORTRANGE(""https://docs.google.com/spreadsheets/d/1-uUXvimVhiU2U0bMN-xi2te0tS4X7DI2GLPnMjzl8cA/edit?usp=share_link"",""ลำพูน!J716"")+IMPORTRANGE(""https://docs.google.com/spreadsheets/d/17HrOaa5pBUI1onckFfumXB8xlg35qb2uBAFfF1D-Myo/edit?usp=shar"&amp;"e_link"",""สุโขทัย!J716"")+IMPORTRANGE(""https://docs.google.com/spreadsheets/d/1ubs5cl16eYL9gHbdHTJtmtYb9MGzHBs7CAphn8kNCgM/edit?usp=share_link"",""อุตรดิตถ์!J716"")+IMPORTRANGE(""https://docs.google.com/spreadsheets/d/1kII0BjS6CtVrBvI8IrytgPdxDrlyQDyigz"&amp;"MsohRtDMs/edit?usp=share_link"",""อุทัยธานี!J716"")
"),0)</f>
        <v>0</v>
      </c>
      <c r="K716" s="38"/>
      <c r="L716" s="733"/>
      <c r="M716" s="189"/>
      <c r="N716" s="733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11"/>
      <c r="B717" s="540"/>
      <c r="C717" s="540"/>
      <c r="D717" s="540"/>
      <c r="E717" s="540"/>
      <c r="F717" s="540"/>
      <c r="G717" s="189"/>
      <c r="H717" s="182" t="s">
        <v>46</v>
      </c>
      <c r="I717" s="732"/>
      <c r="J717" s="183">
        <f ca="1">IFERROR(__xludf.DUMMYFUNCTION("IMPORTRANGE(""https://docs.google.com/spreadsheets/d/1KxicF4apzSqm0-jIpmueT4kyZtE-Cwn5zskl7GD4loQ/edit?usp=share_link"",""กำแพงเพชร!J717"")+IMPORTRANGE(""https://docs.google.com/spreadsheets/d/1ZNYWeiFoFA1K1U4xKWqRX29MBvEyRHXORjo734Gnq_c/edit?usp=share_li"&amp;"nk"",""เชียงราย!J717"")
+IMPORTRANGE(""https://docs.google.com/spreadsheets/d/1Jgv0Y7YlHDtsiDawwp-uvifEJ8HVaSn0k2aGHG8-hwM/edit?usp=share_link"",""เชียงใหม่!J717"")+IMPORTRANGE(""https://docs.google.com/spreadsheets/d/1JWG2rZePOz9pe-f-ObA-yDr0VoOX2kSb0qIi"&amp;"x2mTUo8/edit?usp=share_link"",""ตาก!J717"")+IMPORTRANGE(""https://docs.google.com/spreadsheets/d/10nSRjK08hx8Y6HgSOQKNw81lyY46Zc7U_Cj72hBMp9U/edit?usp=share_link"",""นครสวรรค์!J717"")+IMPORTRANGE(""https://docs.google.com/spreadsheets/d/1gFVb7qd7amutrIxAA"&amp;"oM7lcy35hllxznovot8lyOfvDo/edit?usp=share_link"",""น่าน!J717"")+IMPORTRANGE(""https://docs.google.com/spreadsheets/d/1K0Aa9s-6EuHE5M0FG1F9aHLXRCOV917xvycTdLdct0w/edit?usp=share_link"",""พะเยา!J717"")+IMPORTRANGE(""https://docs.google.com/spreadsheets/d/1Y"&amp;"9LPKx95PyL5OKy09d-KbKJSuuEZCFdkhYjwC0XQjBA/edit?usp=share_link"",""พิจิตร!J717"")+IMPORTRANGE(""https://docs.google.com/spreadsheets/d/16OMuOwy2eVqZcYWOouQtTpa8X1L23h4660uVHc0C8os/edit?usp=share_link"",""พิษณุโลก!J717"")+IMPORTRANGE(""https://docs.google."&amp;"com/spreadsheets/d/1GfgTldLG6k77HXaMQzaafODklYuucJZQNs_GAPEfZyY/edit?usp=share_link"",""เพชรบูรณ์!J717"")+IMPORTRANGE(""https://docs.google.com/spreadsheets/d/1gvTMYAnm7v1yG1BKWFtr0DnaTsq59oW9dwWvFgq6hs0/edit?usp=share_link"",""แพร่!J717"")+IMPORTRANGE("""&amp;"https://docs.google.com/spreadsheets/d/1Wbcosgy-Xa1xXUArJSOenub6EfZHUSzc_bpJFWwQUf0/edit?usp=share_link"",""แม่ฮ่องสอน!J717"")+IMPORTRANGE(""https://docs.google.com/spreadsheets/d/1p7ERhsr0qZeSn-KSOdeHS9r0heI-lHtkcn2OH7hP0jQ/edit?usp=share_link"",""ลำปาง!"&amp;"J717"")+IMPORTRANGE(""https://docs.google.com/spreadsheets/d/1-uUXvimVhiU2U0bMN-xi2te0tS4X7DI2GLPnMjzl8cA/edit?usp=share_link"",""ลำพูน!J717"")+IMPORTRANGE(""https://docs.google.com/spreadsheets/d/17HrOaa5pBUI1onckFfumXB8xlg35qb2uBAFfF1D-Myo/edit?usp=shar"&amp;"e_link"",""สุโขทัย!J717"")+IMPORTRANGE(""https://docs.google.com/spreadsheets/d/1ubs5cl16eYL9gHbdHTJtmtYb9MGzHBs7CAphn8kNCgM/edit?usp=share_link"",""อุตรดิตถ์!J717"")+IMPORTRANGE(""https://docs.google.com/spreadsheets/d/1kII0BjS6CtVrBvI8IrytgPdxDrlyQDyigz"&amp;"MsohRtDMs/edit?usp=share_link"",""อุทัยธานี!J717"")
"),0)</f>
        <v>0</v>
      </c>
      <c r="K717" s="38"/>
      <c r="L717" s="733"/>
      <c r="M717" s="189"/>
      <c r="N717" s="733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11"/>
      <c r="B718" s="540"/>
      <c r="C718" s="540"/>
      <c r="D718" s="541" t="s">
        <v>304</v>
      </c>
      <c r="E718" s="540"/>
      <c r="F718" s="540"/>
      <c r="G718" s="189"/>
      <c r="H718" s="182" t="s">
        <v>35</v>
      </c>
      <c r="I718" s="732"/>
      <c r="J718" s="37">
        <f ca="1">IFERROR(__xludf.DUMMYFUNCTION("IMPORTRANGE(""https://docs.google.com/spreadsheets/d/1KxicF4apzSqm0-jIpmueT4kyZtE-Cwn5zskl7GD4loQ/edit?usp=share_link"",""กำแพงเพชร!J718"")+IMPORTRANGE(""https://docs.google.com/spreadsheets/d/1ZNYWeiFoFA1K1U4xKWqRX29MBvEyRHXORjo734Gnq_c/edit?usp=share_li"&amp;"nk"",""เชียงราย!J718"")
+IMPORTRANGE(""https://docs.google.com/spreadsheets/d/1Jgv0Y7YlHDtsiDawwp-uvifEJ8HVaSn0k2aGHG8-hwM/edit?usp=share_link"",""เชียงใหม่!J718"")+IMPORTRANGE(""https://docs.google.com/spreadsheets/d/1JWG2rZePOz9pe-f-ObA-yDr0VoOX2kSb0qIi"&amp;"x2mTUo8/edit?usp=share_link"",""ตาก!J718"")+IMPORTRANGE(""https://docs.google.com/spreadsheets/d/10nSRjK08hx8Y6HgSOQKNw81lyY46Zc7U_Cj72hBMp9U/edit?usp=share_link"",""นครสวรรค์!J718"")+IMPORTRANGE(""https://docs.google.com/spreadsheets/d/1gFVb7qd7amutrIxAA"&amp;"oM7lcy35hllxznovot8lyOfvDo/edit?usp=share_link"",""น่าน!J718"")+IMPORTRANGE(""https://docs.google.com/spreadsheets/d/1K0Aa9s-6EuHE5M0FG1F9aHLXRCOV917xvycTdLdct0w/edit?usp=share_link"",""พะเยา!J718"")+IMPORTRANGE(""https://docs.google.com/spreadsheets/d/1Y"&amp;"9LPKx95PyL5OKy09d-KbKJSuuEZCFdkhYjwC0XQjBA/edit?usp=share_link"",""พิจิตร!J718"")+IMPORTRANGE(""https://docs.google.com/spreadsheets/d/16OMuOwy2eVqZcYWOouQtTpa8X1L23h4660uVHc0C8os/edit?usp=share_link"",""พิษณุโลก!J718"")+IMPORTRANGE(""https://docs.google."&amp;"com/spreadsheets/d/1GfgTldLG6k77HXaMQzaafODklYuucJZQNs_GAPEfZyY/edit?usp=share_link"",""เพชรบูรณ์!J718"")+IMPORTRANGE(""https://docs.google.com/spreadsheets/d/1gvTMYAnm7v1yG1BKWFtr0DnaTsq59oW9dwWvFgq6hs0/edit?usp=share_link"",""แพร่!J718"")+IMPORTRANGE("""&amp;"https://docs.google.com/spreadsheets/d/1Wbcosgy-Xa1xXUArJSOenub6EfZHUSzc_bpJFWwQUf0/edit?usp=share_link"",""แม่ฮ่องสอน!J718"")+IMPORTRANGE(""https://docs.google.com/spreadsheets/d/1p7ERhsr0qZeSn-KSOdeHS9r0heI-lHtkcn2OH7hP0jQ/edit?usp=share_link"",""ลำปาง!"&amp;"J718"")+IMPORTRANGE(""https://docs.google.com/spreadsheets/d/1-uUXvimVhiU2U0bMN-xi2te0tS4X7DI2GLPnMjzl8cA/edit?usp=share_link"",""ลำพูน!J718"")+IMPORTRANGE(""https://docs.google.com/spreadsheets/d/17HrOaa5pBUI1onckFfumXB8xlg35qb2uBAFfF1D-Myo/edit?usp=shar"&amp;"e_link"",""สุโขทัย!J718"")+IMPORTRANGE(""https://docs.google.com/spreadsheets/d/1ubs5cl16eYL9gHbdHTJtmtYb9MGzHBs7CAphn8kNCgM/edit?usp=share_link"",""อุตรดิตถ์!J718"")+IMPORTRANGE(""https://docs.google.com/spreadsheets/d/1kII0BjS6CtVrBvI8IrytgPdxDrlyQDyigz"&amp;"MsohRtDMs/edit?usp=share_link"",""อุทัยธานี!J718"")
"),1)</f>
        <v>1</v>
      </c>
      <c r="K718" s="38"/>
      <c r="L718" s="38"/>
      <c r="M718" s="189"/>
      <c r="N718" s="733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11"/>
      <c r="B719" s="540"/>
      <c r="C719" s="540"/>
      <c r="D719" s="540"/>
      <c r="E719" s="540"/>
      <c r="F719" s="540"/>
      <c r="G719" s="189"/>
      <c r="H719" s="182" t="s">
        <v>34</v>
      </c>
      <c r="I719" s="732"/>
      <c r="J719" s="37">
        <f ca="1">IFERROR(__xludf.DUMMYFUNCTION("IMPORTRANGE(""https://docs.google.com/spreadsheets/d/1KxicF4apzSqm0-jIpmueT4kyZtE-Cwn5zskl7GD4loQ/edit?usp=share_link"",""กำแพงเพชร!J719"")+IMPORTRANGE(""https://docs.google.com/spreadsheets/d/1ZNYWeiFoFA1K1U4xKWqRX29MBvEyRHXORjo734Gnq_c/edit?usp=share_li"&amp;"nk"",""เชียงราย!J719"")
+IMPORTRANGE(""https://docs.google.com/spreadsheets/d/1Jgv0Y7YlHDtsiDawwp-uvifEJ8HVaSn0k2aGHG8-hwM/edit?usp=share_link"",""เชียงใหม่!J719"")+IMPORTRANGE(""https://docs.google.com/spreadsheets/d/1JWG2rZePOz9pe-f-ObA-yDr0VoOX2kSb0qIi"&amp;"x2mTUo8/edit?usp=share_link"",""ตาก!J719"")+IMPORTRANGE(""https://docs.google.com/spreadsheets/d/10nSRjK08hx8Y6HgSOQKNw81lyY46Zc7U_Cj72hBMp9U/edit?usp=share_link"",""นครสวรรค์!J719"")+IMPORTRANGE(""https://docs.google.com/spreadsheets/d/1gFVb7qd7amutrIxAA"&amp;"oM7lcy35hllxznovot8lyOfvDo/edit?usp=share_link"",""น่าน!J719"")+IMPORTRANGE(""https://docs.google.com/spreadsheets/d/1K0Aa9s-6EuHE5M0FG1F9aHLXRCOV917xvycTdLdct0w/edit?usp=share_link"",""พะเยา!J719"")+IMPORTRANGE(""https://docs.google.com/spreadsheets/d/1Y"&amp;"9LPKx95PyL5OKy09d-KbKJSuuEZCFdkhYjwC0XQjBA/edit?usp=share_link"",""พิจิตร!J719"")+IMPORTRANGE(""https://docs.google.com/spreadsheets/d/16OMuOwy2eVqZcYWOouQtTpa8X1L23h4660uVHc0C8os/edit?usp=share_link"",""พิษณุโลก!J719"")+IMPORTRANGE(""https://docs.google."&amp;"com/spreadsheets/d/1GfgTldLG6k77HXaMQzaafODklYuucJZQNs_GAPEfZyY/edit?usp=share_link"",""เพชรบูรณ์!J719"")+IMPORTRANGE(""https://docs.google.com/spreadsheets/d/1gvTMYAnm7v1yG1BKWFtr0DnaTsq59oW9dwWvFgq6hs0/edit?usp=share_link"",""แพร่!J719"")+IMPORTRANGE("""&amp;"https://docs.google.com/spreadsheets/d/1Wbcosgy-Xa1xXUArJSOenub6EfZHUSzc_bpJFWwQUf0/edit?usp=share_link"",""แม่ฮ่องสอน!J719"")+IMPORTRANGE(""https://docs.google.com/spreadsheets/d/1p7ERhsr0qZeSn-KSOdeHS9r0heI-lHtkcn2OH7hP0jQ/edit?usp=share_link"",""ลำปาง!"&amp;"J719"")+IMPORTRANGE(""https://docs.google.com/spreadsheets/d/1-uUXvimVhiU2U0bMN-xi2te0tS4X7DI2GLPnMjzl8cA/edit?usp=share_link"",""ลำพูน!J719"")+IMPORTRANGE(""https://docs.google.com/spreadsheets/d/17HrOaa5pBUI1onckFfumXB8xlg35qb2uBAFfF1D-Myo/edit?usp=shar"&amp;"e_link"",""สุโขทัย!J719"")+IMPORTRANGE(""https://docs.google.com/spreadsheets/d/1ubs5cl16eYL9gHbdHTJtmtYb9MGzHBs7CAphn8kNCgM/edit?usp=share_link"",""อุตรดิตถ์!J719"")+IMPORTRANGE(""https://docs.google.com/spreadsheets/d/1kII0BjS6CtVrBvI8IrytgPdxDrlyQDyigz"&amp;"MsohRtDMs/edit?usp=share_link"",""อุทัยธานี!J719"")
"),1)</f>
        <v>1</v>
      </c>
      <c r="K719" s="38"/>
      <c r="L719" s="733"/>
      <c r="M719" s="189"/>
      <c r="N719" s="733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11"/>
      <c r="B720" s="540"/>
      <c r="C720" s="540"/>
      <c r="D720" s="540"/>
      <c r="E720" s="540"/>
      <c r="F720" s="540"/>
      <c r="G720" s="189"/>
      <c r="H720" s="182" t="s">
        <v>46</v>
      </c>
      <c r="I720" s="732">
        <f ca="1">IFERROR(__xludf.DUMMYFUNCTION("IMPORTRANGE(""https://docs.google.com/spreadsheets/d/1KxicF4apzSqm0-jIpmueT4kyZtE-Cwn5zskl7GD4loQ/edit?usp=share_link"",""กำแพงเพชร!I720"")+IMPORTRANGE(""https://docs.google.com/spreadsheets/d/1ZNYWeiFoFA1K1U4xKWqRX29MBvEyRHXORjo734Gnq_c/edit?usp=share_li"&amp;"nk"",""เชียงราย!I720"")
+IMPORTRANGE(""https://docs.google.com/spreadsheets/d/1Jgv0Y7YlHDtsiDawwp-uvifEJ8HVaSn0k2aGHG8-hwM/edit?usp=share_link"",""เชียงใหม่!I720"")+IMPORTRANGE(""https://docs.google.com/spreadsheets/d/1JWG2rZePOz9pe-f-ObA-yDr0VoOX2kSb0qIi"&amp;"x2mTUo8/edit?usp=share_link"",""ตาก!I720"")+IMPORTRANGE(""https://docs.google.com/spreadsheets/d/10nSRjK08hx8Y6HgSOQKNw81lyY46Zc7U_Cj72hBMp9U/edit?usp=share_link"",""นครสวรรค์!I720"")+IMPORTRANGE(""https://docs.google.com/spreadsheets/d/1gFVb7qd7amutrIxAA"&amp;"oM7lcy35hllxznovot8lyOfvDo/edit?usp=share_link"",""น่าน!I720"")+IMPORTRANGE(""https://docs.google.com/spreadsheets/d/1K0Aa9s-6EuHE5M0FG1F9aHLXRCOV917xvycTdLdct0w/edit?usp=share_link"",""พะเยา!I720"")+IMPORTRANGE(""https://docs.google.com/spreadsheets/d/1Y"&amp;"9LPKx95PyL5OKy09d-KbKJSuuEZCFdkhYjwC0XQjBA/edit?usp=share_link"",""พิจิตร!I720"")+IMPORTRANGE(""https://docs.google.com/spreadsheets/d/16OMuOwy2eVqZcYWOouQtTpa8X1L23h4660uVHc0C8os/edit?usp=share_link"",""พิษณุโลก!I720"")+IMPORTRANGE(""https://docs.google."&amp;"com/spreadsheets/d/1GfgTldLG6k77HXaMQzaafODklYuucJZQNs_GAPEfZyY/edit?usp=share_link"",""เพชรบูรณ์!I720"")+IMPORTRANGE(""https://docs.google.com/spreadsheets/d/1gvTMYAnm7v1yG1BKWFtr0DnaTsq59oW9dwWvFgq6hs0/edit?usp=share_link"",""แพร่!I720"")+IMPORTRANGE("""&amp;"https://docs.google.com/spreadsheets/d/1Wbcosgy-Xa1xXUArJSOenub6EfZHUSzc_bpJFWwQUf0/edit?usp=share_link"",""แม่ฮ่องสอน!I720"")+IMPORTRANGE(""https://docs.google.com/spreadsheets/d/1p7ERhsr0qZeSn-KSOdeHS9r0heI-lHtkcn2OH7hP0jQ/edit?usp=share_link"",""ลำปาง!"&amp;"I720"")+IMPORTRANGE(""https://docs.google.com/spreadsheets/d/1-uUXvimVhiU2U0bMN-xi2te0tS4X7DI2GLPnMjzl8cA/edit?usp=share_link"",""ลำพูน!I720"")+IMPORTRANGE(""https://docs.google.com/spreadsheets/d/17HrOaa5pBUI1onckFfumXB8xlg35qb2uBAFfF1D-Myo/edit?usp=shar"&amp;"e_link"",""สุโขทัย!I720"")+IMPORTRANGE(""https://docs.google.com/spreadsheets/d/1ubs5cl16eYL9gHbdHTJtmtYb9MGzHBs7CAphn8kNCgM/edit?usp=share_link"",""อุตรดิตถ์!I720"")+IMPORTRANGE(""https://docs.google.com/spreadsheets/d/1kII0BjS6CtVrBvI8IrytgPdxDrlyQDyigz"&amp;"MsohRtDMs/edit?usp=share_link"",""อุทัยธานี!I720"")
"),3778)</f>
        <v>3778</v>
      </c>
      <c r="J720" s="37">
        <f ca="1">IFERROR(__xludf.DUMMYFUNCTION("IMPORTRANGE(""https://docs.google.com/spreadsheets/d/1KxicF4apzSqm0-jIpmueT4kyZtE-Cwn5zskl7GD4loQ/edit?usp=share_link"",""กำแพงเพชร!J720"")+IMPORTRANGE(""https://docs.google.com/spreadsheets/d/1ZNYWeiFoFA1K1U4xKWqRX29MBvEyRHXORjo734Gnq_c/edit?usp=share_li"&amp;"nk"",""เชียงราย!J720"")
+IMPORTRANGE(""https://docs.google.com/spreadsheets/d/1Jgv0Y7YlHDtsiDawwp-uvifEJ8HVaSn0k2aGHG8-hwM/edit?usp=share_link"",""เชียงใหม่!J720"")+IMPORTRANGE(""https://docs.google.com/spreadsheets/d/1JWG2rZePOz9pe-f-ObA-yDr0VoOX2kSb0qIi"&amp;"x2mTUo8/edit?usp=share_link"",""ตาก!J720"")+IMPORTRANGE(""https://docs.google.com/spreadsheets/d/10nSRjK08hx8Y6HgSOQKNw81lyY46Zc7U_Cj72hBMp9U/edit?usp=share_link"",""นครสวรรค์!J720"")+IMPORTRANGE(""https://docs.google.com/spreadsheets/d/1gFVb7qd7amutrIxAA"&amp;"oM7lcy35hllxznovot8lyOfvDo/edit?usp=share_link"",""น่าน!J720"")+IMPORTRANGE(""https://docs.google.com/spreadsheets/d/1K0Aa9s-6EuHE5M0FG1F9aHLXRCOV917xvycTdLdct0w/edit?usp=share_link"",""พะเยา!J720"")+IMPORTRANGE(""https://docs.google.com/spreadsheets/d/1Y"&amp;"9LPKx95PyL5OKy09d-KbKJSuuEZCFdkhYjwC0XQjBA/edit?usp=share_link"",""พิจิตร!J720"")+IMPORTRANGE(""https://docs.google.com/spreadsheets/d/16OMuOwy2eVqZcYWOouQtTpa8X1L23h4660uVHc0C8os/edit?usp=share_link"",""พิษณุโลก!J720"")+IMPORTRANGE(""https://docs.google."&amp;"com/spreadsheets/d/1GfgTldLG6k77HXaMQzaafODklYuucJZQNs_GAPEfZyY/edit?usp=share_link"",""เพชรบูรณ์!J720"")+IMPORTRANGE(""https://docs.google.com/spreadsheets/d/1gvTMYAnm7v1yG1BKWFtr0DnaTsq59oW9dwWvFgq6hs0/edit?usp=share_link"",""แพร่!J720"")+IMPORTRANGE("""&amp;"https://docs.google.com/spreadsheets/d/1Wbcosgy-Xa1xXUArJSOenub6EfZHUSzc_bpJFWwQUf0/edit?usp=share_link"",""แม่ฮ่องสอน!J720"")+IMPORTRANGE(""https://docs.google.com/spreadsheets/d/1p7ERhsr0qZeSn-KSOdeHS9r0heI-lHtkcn2OH7hP0jQ/edit?usp=share_link"",""ลำปาง!"&amp;"J720"")+IMPORTRANGE(""https://docs.google.com/spreadsheets/d/1-uUXvimVhiU2U0bMN-xi2te0tS4X7DI2GLPnMjzl8cA/edit?usp=share_link"",""ลำพูน!J720"")+IMPORTRANGE(""https://docs.google.com/spreadsheets/d/17HrOaa5pBUI1onckFfumXB8xlg35qb2uBAFfF1D-Myo/edit?usp=shar"&amp;"e_link"",""สุโขทัย!J720"")+IMPORTRANGE(""https://docs.google.com/spreadsheets/d/1ubs5cl16eYL9gHbdHTJtmtYb9MGzHBs7CAphn8kNCgM/edit?usp=share_link"",""อุตรดิตถ์!J720"")+IMPORTRANGE(""https://docs.google.com/spreadsheets/d/1kII0BjS6CtVrBvI8IrytgPdxDrlyQDyigz"&amp;"MsohRtDMs/edit?usp=share_link"",""อุทัยธานี!J720"")
"),10.05)</f>
        <v>10.050000000000001</v>
      </c>
      <c r="K720" s="38">
        <f t="shared" ref="K720:K723" ca="1" si="332">IF(I720&gt;0,J720*100/I720,0)</f>
        <v>0.26601376389624143</v>
      </c>
      <c r="L720" s="733"/>
      <c r="M720" s="189"/>
      <c r="N720" s="733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11"/>
      <c r="B721" s="540"/>
      <c r="C721" s="540"/>
      <c r="D721" s="541" t="s">
        <v>305</v>
      </c>
      <c r="E721" s="540"/>
      <c r="F721" s="540"/>
      <c r="G721" s="189"/>
      <c r="H721" s="719" t="s">
        <v>35</v>
      </c>
      <c r="I721" s="735">
        <f ca="1">IFERROR(__xludf.DUMMYFUNCTION("IMPORTRANGE(""https://docs.google.com/spreadsheets/d/1KxicF4apzSqm0-jIpmueT4kyZtE-Cwn5zskl7GD4loQ/edit?usp=share_link"",""กำแพงเพชร!I721"")+IMPORTRANGE(""https://docs.google.com/spreadsheets/d/1ZNYWeiFoFA1K1U4xKWqRX29MBvEyRHXORjo734Gnq_c/edit?usp=share_li"&amp;"nk"",""เชียงราย!I721"")
+IMPORTRANGE(""https://docs.google.com/spreadsheets/d/1Jgv0Y7YlHDtsiDawwp-uvifEJ8HVaSn0k2aGHG8-hwM/edit?usp=share_link"",""เชียงใหม่!I721"")+IMPORTRANGE(""https://docs.google.com/spreadsheets/d/1JWG2rZePOz9pe-f-ObA-yDr0VoOX2kSb0qIi"&amp;"x2mTUo8/edit?usp=share_link"",""ตาก!I721"")+IMPORTRANGE(""https://docs.google.com/spreadsheets/d/10nSRjK08hx8Y6HgSOQKNw81lyY46Zc7U_Cj72hBMp9U/edit?usp=share_link"",""นครสวรรค์!I721"")+IMPORTRANGE(""https://docs.google.com/spreadsheets/d/1gFVb7qd7amutrIxAA"&amp;"oM7lcy35hllxznovot8lyOfvDo/edit?usp=share_link"",""น่าน!I721"")+IMPORTRANGE(""https://docs.google.com/spreadsheets/d/1K0Aa9s-6EuHE5M0FG1F9aHLXRCOV917xvycTdLdct0w/edit?usp=share_link"",""พะเยา!I721"")+IMPORTRANGE(""https://docs.google.com/spreadsheets/d/1Y"&amp;"9LPKx95PyL5OKy09d-KbKJSuuEZCFdkhYjwC0XQjBA/edit?usp=share_link"",""พิจิตร!I721"")+IMPORTRANGE(""https://docs.google.com/spreadsheets/d/16OMuOwy2eVqZcYWOouQtTpa8X1L23h4660uVHc0C8os/edit?usp=share_link"",""พิษณุโลก!I721"")+IMPORTRANGE(""https://docs.google."&amp;"com/spreadsheets/d/1GfgTldLG6k77HXaMQzaafODklYuucJZQNs_GAPEfZyY/edit?usp=share_link"",""เพชรบูรณ์!I721"")+IMPORTRANGE(""https://docs.google.com/spreadsheets/d/1gvTMYAnm7v1yG1BKWFtr0DnaTsq59oW9dwWvFgq6hs0/edit?usp=share_link"",""แพร่!I721"")+IMPORTRANGE("""&amp;"https://docs.google.com/spreadsheets/d/1Wbcosgy-Xa1xXUArJSOenub6EfZHUSzc_bpJFWwQUf0/edit?usp=share_link"",""แม่ฮ่องสอน!I721"")+IMPORTRANGE(""https://docs.google.com/spreadsheets/d/1p7ERhsr0qZeSn-KSOdeHS9r0heI-lHtkcn2OH7hP0jQ/edit?usp=share_link"",""ลำปาง!"&amp;"I721"")+IMPORTRANGE(""https://docs.google.com/spreadsheets/d/1-uUXvimVhiU2U0bMN-xi2te0tS4X7DI2GLPnMjzl8cA/edit?usp=share_link"",""ลำพูน!I721"")+IMPORTRANGE(""https://docs.google.com/spreadsheets/d/17HrOaa5pBUI1onckFfumXB8xlg35qb2uBAFfF1D-Myo/edit?usp=shar"&amp;"e_link"",""สุโขทัย!I721"")+IMPORTRANGE(""https://docs.google.com/spreadsheets/d/1ubs5cl16eYL9gHbdHTJtmtYb9MGzHBs7CAphn8kNCgM/edit?usp=share_link"",""อุตรดิตถ์!I721"")+IMPORTRANGE(""https://docs.google.com/spreadsheets/d/1kII0BjS6CtVrBvI8IrytgPdxDrlyQDyigz"&amp;"MsohRtDMs/edit?usp=share_link"",""อุทัยธานี!I721"")
"),105)</f>
        <v>105</v>
      </c>
      <c r="J721" s="194">
        <f ca="1">J723+J726</f>
        <v>7</v>
      </c>
      <c r="K721" s="195">
        <f t="shared" ca="1" si="332"/>
        <v>6.666666666666667</v>
      </c>
      <c r="L721" s="733"/>
      <c r="M721" s="189"/>
      <c r="N721" s="733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11"/>
      <c r="B722" s="540"/>
      <c r="C722" s="540"/>
      <c r="D722" s="540"/>
      <c r="E722" s="541"/>
      <c r="F722" s="540"/>
      <c r="G722" s="189"/>
      <c r="H722" s="719" t="s">
        <v>46</v>
      </c>
      <c r="I722" s="735">
        <f ca="1">IFERROR(__xludf.DUMMYFUNCTION("IMPORTRANGE(""https://docs.google.com/spreadsheets/d/1KxicF4apzSqm0-jIpmueT4kyZtE-Cwn5zskl7GD4loQ/edit?usp=share_link"",""กำแพงเพชร!I722"")+IMPORTRANGE(""https://docs.google.com/spreadsheets/d/1ZNYWeiFoFA1K1U4xKWqRX29MBvEyRHXORjo734Gnq_c/edit?usp=share_li"&amp;"nk"",""เชียงราย!I722"")
+IMPORTRANGE(""https://docs.google.com/spreadsheets/d/1Jgv0Y7YlHDtsiDawwp-uvifEJ8HVaSn0k2aGHG8-hwM/edit?usp=share_link"",""เชียงใหม่!I722"")+IMPORTRANGE(""https://docs.google.com/spreadsheets/d/1JWG2rZePOz9pe-f-ObA-yDr0VoOX2kSb0qIi"&amp;"x2mTUo8/edit?usp=share_link"",""ตาก!I722"")+IMPORTRANGE(""https://docs.google.com/spreadsheets/d/10nSRjK08hx8Y6HgSOQKNw81lyY46Zc7U_Cj72hBMp9U/edit?usp=share_link"",""นครสวรรค์!I722"")+IMPORTRANGE(""https://docs.google.com/spreadsheets/d/1gFVb7qd7amutrIxAA"&amp;"oM7lcy35hllxznovot8lyOfvDo/edit?usp=share_link"",""น่าน!I722"")+IMPORTRANGE(""https://docs.google.com/spreadsheets/d/1K0Aa9s-6EuHE5M0FG1F9aHLXRCOV917xvycTdLdct0w/edit?usp=share_link"",""พะเยา!I722"")+IMPORTRANGE(""https://docs.google.com/spreadsheets/d/1Y"&amp;"9LPKx95PyL5OKy09d-KbKJSuuEZCFdkhYjwC0XQjBA/edit?usp=share_link"",""พิจิตร!I722"")+IMPORTRANGE(""https://docs.google.com/spreadsheets/d/16OMuOwy2eVqZcYWOouQtTpa8X1L23h4660uVHc0C8os/edit?usp=share_link"",""พิษณุโลก!I722"")+IMPORTRANGE(""https://docs.google."&amp;"com/spreadsheets/d/1GfgTldLG6k77HXaMQzaafODklYuucJZQNs_GAPEfZyY/edit?usp=share_link"",""เพชรบูรณ์!I722"")+IMPORTRANGE(""https://docs.google.com/spreadsheets/d/1gvTMYAnm7v1yG1BKWFtr0DnaTsq59oW9dwWvFgq6hs0/edit?usp=share_link"",""แพร่!I722"")+IMPORTRANGE("""&amp;"https://docs.google.com/spreadsheets/d/1Wbcosgy-Xa1xXUArJSOenub6EfZHUSzc_bpJFWwQUf0/edit?usp=share_link"",""แม่ฮ่องสอน!I722"")+IMPORTRANGE(""https://docs.google.com/spreadsheets/d/1p7ERhsr0qZeSn-KSOdeHS9r0heI-lHtkcn2OH7hP0jQ/edit?usp=share_link"",""ลำปาง!"&amp;"I722"")+IMPORTRANGE(""https://docs.google.com/spreadsheets/d/1-uUXvimVhiU2U0bMN-xi2te0tS4X7DI2GLPnMjzl8cA/edit?usp=share_link"",""ลำพูน!I722"")+IMPORTRANGE(""https://docs.google.com/spreadsheets/d/17HrOaa5pBUI1onckFfumXB8xlg35qb2uBAFfF1D-Myo/edit?usp=shar"&amp;"e_link"",""สุโขทัย!I722"")+IMPORTRANGE(""https://docs.google.com/spreadsheets/d/1ubs5cl16eYL9gHbdHTJtmtYb9MGzHBs7CAphn8kNCgM/edit?usp=share_link"",""อุตรดิตถ์!I722"")+IMPORTRANGE(""https://docs.google.com/spreadsheets/d/1kII0BjS6CtVrBvI8IrytgPdxDrlyQDyigz"&amp;"MsohRtDMs/edit?usp=share_link"",""อุทัยธานี!I722"")
"),1659)</f>
        <v>1659</v>
      </c>
      <c r="J722" s="194">
        <f ca="1">J725+J728</f>
        <v>147.59</v>
      </c>
      <c r="K722" s="195">
        <f t="shared" ca="1" si="332"/>
        <v>8.8963230861965048</v>
      </c>
      <c r="L722" s="38"/>
      <c r="M722" s="189"/>
      <c r="N722" s="733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11"/>
      <c r="B723" s="540"/>
      <c r="C723" s="540"/>
      <c r="D723" s="540"/>
      <c r="E723" s="541" t="s">
        <v>306</v>
      </c>
      <c r="F723" s="540"/>
      <c r="G723" s="189"/>
      <c r="H723" s="182" t="s">
        <v>35</v>
      </c>
      <c r="I723" s="732">
        <f ca="1">IFERROR(__xludf.DUMMYFUNCTION("IMPORTRANGE(""https://docs.google.com/spreadsheets/d/1KxicF4apzSqm0-jIpmueT4kyZtE-Cwn5zskl7GD4loQ/edit?usp=share_link"",""กำแพงเพชร!I723"")+IMPORTRANGE(""https://docs.google.com/spreadsheets/d/1ZNYWeiFoFA1K1U4xKWqRX29MBvEyRHXORjo734Gnq_c/edit?usp=share_li"&amp;"nk"",""เชียงราย!I723"")
+IMPORTRANGE(""https://docs.google.com/spreadsheets/d/1Jgv0Y7YlHDtsiDawwp-uvifEJ8HVaSn0k2aGHG8-hwM/edit?usp=share_link"",""เชียงใหม่!I723"")+IMPORTRANGE(""https://docs.google.com/spreadsheets/d/1JWG2rZePOz9pe-f-ObA-yDr0VoOX2kSb0qIi"&amp;"x2mTUo8/edit?usp=share_link"",""ตาก!I723"")+IMPORTRANGE(""https://docs.google.com/spreadsheets/d/10nSRjK08hx8Y6HgSOQKNw81lyY46Zc7U_Cj72hBMp9U/edit?usp=share_link"",""นครสวรรค์!I723"")+IMPORTRANGE(""https://docs.google.com/spreadsheets/d/1gFVb7qd7amutrIxAA"&amp;"oM7lcy35hllxznovot8lyOfvDo/edit?usp=share_link"",""น่าน!I723"")+IMPORTRANGE(""https://docs.google.com/spreadsheets/d/1K0Aa9s-6EuHE5M0FG1F9aHLXRCOV917xvycTdLdct0w/edit?usp=share_link"",""พะเยา!I723"")+IMPORTRANGE(""https://docs.google.com/spreadsheets/d/1Y"&amp;"9LPKx95PyL5OKy09d-KbKJSuuEZCFdkhYjwC0XQjBA/edit?usp=share_link"",""พิจิตร!I723"")+IMPORTRANGE(""https://docs.google.com/spreadsheets/d/16OMuOwy2eVqZcYWOouQtTpa8X1L23h4660uVHc0C8os/edit?usp=share_link"",""พิษณุโลก!I723"")+IMPORTRANGE(""https://docs.google."&amp;"com/spreadsheets/d/1GfgTldLG6k77HXaMQzaafODklYuucJZQNs_GAPEfZyY/edit?usp=share_link"",""เพชรบูรณ์!I723"")+IMPORTRANGE(""https://docs.google.com/spreadsheets/d/1gvTMYAnm7v1yG1BKWFtr0DnaTsq59oW9dwWvFgq6hs0/edit?usp=share_link"",""แพร่!I723"")+IMPORTRANGE("""&amp;"https://docs.google.com/spreadsheets/d/1Wbcosgy-Xa1xXUArJSOenub6EfZHUSzc_bpJFWwQUf0/edit?usp=share_link"",""แม่ฮ่องสอน!I723"")+IMPORTRANGE(""https://docs.google.com/spreadsheets/d/1p7ERhsr0qZeSn-KSOdeHS9r0heI-lHtkcn2OH7hP0jQ/edit?usp=share_link"",""ลำปาง!"&amp;"I723"")+IMPORTRANGE(""https://docs.google.com/spreadsheets/d/1-uUXvimVhiU2U0bMN-xi2te0tS4X7DI2GLPnMjzl8cA/edit?usp=share_link"",""ลำพูน!I723"")+IMPORTRANGE(""https://docs.google.com/spreadsheets/d/17HrOaa5pBUI1onckFfumXB8xlg35qb2uBAFfF1D-Myo/edit?usp=shar"&amp;"e_link"",""สุโขทัย!I723"")+IMPORTRANGE(""https://docs.google.com/spreadsheets/d/1ubs5cl16eYL9gHbdHTJtmtYb9MGzHBs7CAphn8kNCgM/edit?usp=share_link"",""อุตรดิตถ์!I723"")+IMPORTRANGE(""https://docs.google.com/spreadsheets/d/1kII0BjS6CtVrBvI8IrytgPdxDrlyQDyigz"&amp;"MsohRtDMs/edit?usp=share_link"",""อุทัยธานี!I723"")
"),77)</f>
        <v>77</v>
      </c>
      <c r="J723" s="37">
        <f ca="1">IFERROR(__xludf.DUMMYFUNCTION("IMPORTRANGE(""https://docs.google.com/spreadsheets/d/1KxicF4apzSqm0-jIpmueT4kyZtE-Cwn5zskl7GD4loQ/edit?usp=share_link"",""กำแพงเพชร!J723"")+IMPORTRANGE(""https://docs.google.com/spreadsheets/d/1ZNYWeiFoFA1K1U4xKWqRX29MBvEyRHXORjo734Gnq_c/edit?usp=share_li"&amp;"nk"",""เชียงราย!J723"")
+IMPORTRANGE(""https://docs.google.com/spreadsheets/d/1Jgv0Y7YlHDtsiDawwp-uvifEJ8HVaSn0k2aGHG8-hwM/edit?usp=share_link"",""เชียงใหม่!J723"")+IMPORTRANGE(""https://docs.google.com/spreadsheets/d/1JWG2rZePOz9pe-f-ObA-yDr0VoOX2kSb0qIi"&amp;"x2mTUo8/edit?usp=share_link"",""ตาก!J723"")+IMPORTRANGE(""https://docs.google.com/spreadsheets/d/10nSRjK08hx8Y6HgSOQKNw81lyY46Zc7U_Cj72hBMp9U/edit?usp=share_link"",""นครสวรรค์!J723"")+IMPORTRANGE(""https://docs.google.com/spreadsheets/d/1gFVb7qd7amutrIxAA"&amp;"oM7lcy35hllxznovot8lyOfvDo/edit?usp=share_link"",""น่าน!J723"")+IMPORTRANGE(""https://docs.google.com/spreadsheets/d/1K0Aa9s-6EuHE5M0FG1F9aHLXRCOV917xvycTdLdct0w/edit?usp=share_link"",""พะเยา!J723"")+IMPORTRANGE(""https://docs.google.com/spreadsheets/d/1Y"&amp;"9LPKx95PyL5OKy09d-KbKJSuuEZCFdkhYjwC0XQjBA/edit?usp=share_link"",""พิจิตร!J723"")+IMPORTRANGE(""https://docs.google.com/spreadsheets/d/16OMuOwy2eVqZcYWOouQtTpa8X1L23h4660uVHc0C8os/edit?usp=share_link"",""พิษณุโลก!J723"")+IMPORTRANGE(""https://docs.google."&amp;"com/spreadsheets/d/1GfgTldLG6k77HXaMQzaafODklYuucJZQNs_GAPEfZyY/edit?usp=share_link"",""เพชรบูรณ์!J723"")+IMPORTRANGE(""https://docs.google.com/spreadsheets/d/1gvTMYAnm7v1yG1BKWFtr0DnaTsq59oW9dwWvFgq6hs0/edit?usp=share_link"",""แพร่!J723"")+IMPORTRANGE("""&amp;"https://docs.google.com/spreadsheets/d/1Wbcosgy-Xa1xXUArJSOenub6EfZHUSzc_bpJFWwQUf0/edit?usp=share_link"",""แม่ฮ่องสอน!J723"")+IMPORTRANGE(""https://docs.google.com/spreadsheets/d/1p7ERhsr0qZeSn-KSOdeHS9r0heI-lHtkcn2OH7hP0jQ/edit?usp=share_link"",""ลำปาง!"&amp;"J723"")+IMPORTRANGE(""https://docs.google.com/spreadsheets/d/1-uUXvimVhiU2U0bMN-xi2te0tS4X7DI2GLPnMjzl8cA/edit?usp=share_link"",""ลำพูน!J723"")+IMPORTRANGE(""https://docs.google.com/spreadsheets/d/17HrOaa5pBUI1onckFfumXB8xlg35qb2uBAFfF1D-Myo/edit?usp=shar"&amp;"e_link"",""สุโขทัย!J723"")+IMPORTRANGE(""https://docs.google.com/spreadsheets/d/1ubs5cl16eYL9gHbdHTJtmtYb9MGzHBs7CAphn8kNCgM/edit?usp=share_link"",""อุตรดิตถ์!J723"")+IMPORTRANGE(""https://docs.google.com/spreadsheets/d/1kII0BjS6CtVrBvI8IrytgPdxDrlyQDyigz"&amp;"MsohRtDMs/edit?usp=share_link"",""อุทัยธานี!J723"")
"),7)</f>
        <v>7</v>
      </c>
      <c r="K723" s="38">
        <f t="shared" ca="1" si="332"/>
        <v>9.0909090909090917</v>
      </c>
      <c r="L723" s="38"/>
      <c r="M723" s="189"/>
      <c r="N723" s="733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11"/>
      <c r="B724" s="540"/>
      <c r="C724" s="540"/>
      <c r="D724" s="540"/>
      <c r="E724" s="540"/>
      <c r="F724" s="540"/>
      <c r="G724" s="189"/>
      <c r="H724" s="182" t="s">
        <v>34</v>
      </c>
      <c r="I724" s="732"/>
      <c r="J724" s="37">
        <f ca="1">IFERROR(__xludf.DUMMYFUNCTION("IMPORTRANGE(""https://docs.google.com/spreadsheets/d/1KxicF4apzSqm0-jIpmueT4kyZtE-Cwn5zskl7GD4loQ/edit?usp=share_link"",""กำแพงเพชร!J724"")+IMPORTRANGE(""https://docs.google.com/spreadsheets/d/1ZNYWeiFoFA1K1U4xKWqRX29MBvEyRHXORjo734Gnq_c/edit?usp=share_li"&amp;"nk"",""เชียงราย!J724"")
+IMPORTRANGE(""https://docs.google.com/spreadsheets/d/1Jgv0Y7YlHDtsiDawwp-uvifEJ8HVaSn0k2aGHG8-hwM/edit?usp=share_link"",""เชียงใหม่!J724"")+IMPORTRANGE(""https://docs.google.com/spreadsheets/d/1JWG2rZePOz9pe-f-ObA-yDr0VoOX2kSb0qIi"&amp;"x2mTUo8/edit?usp=share_link"",""ตาก!J724"")+IMPORTRANGE(""https://docs.google.com/spreadsheets/d/10nSRjK08hx8Y6HgSOQKNw81lyY46Zc7U_Cj72hBMp9U/edit?usp=share_link"",""นครสวรรค์!J724"")+IMPORTRANGE(""https://docs.google.com/spreadsheets/d/1gFVb7qd7amutrIxAA"&amp;"oM7lcy35hllxznovot8lyOfvDo/edit?usp=share_link"",""น่าน!J724"")+IMPORTRANGE(""https://docs.google.com/spreadsheets/d/1K0Aa9s-6EuHE5M0FG1F9aHLXRCOV917xvycTdLdct0w/edit?usp=share_link"",""พะเยา!J724"")+IMPORTRANGE(""https://docs.google.com/spreadsheets/d/1Y"&amp;"9LPKx95PyL5OKy09d-KbKJSuuEZCFdkhYjwC0XQjBA/edit?usp=share_link"",""พิจิตร!J724"")+IMPORTRANGE(""https://docs.google.com/spreadsheets/d/16OMuOwy2eVqZcYWOouQtTpa8X1L23h4660uVHc0C8os/edit?usp=share_link"",""พิษณุโลก!J724"")+IMPORTRANGE(""https://docs.google."&amp;"com/spreadsheets/d/1GfgTldLG6k77HXaMQzaafODklYuucJZQNs_GAPEfZyY/edit?usp=share_link"",""เพชรบูรณ์!J724"")+IMPORTRANGE(""https://docs.google.com/spreadsheets/d/1gvTMYAnm7v1yG1BKWFtr0DnaTsq59oW9dwWvFgq6hs0/edit?usp=share_link"",""แพร่!J724"")+IMPORTRANGE("""&amp;"https://docs.google.com/spreadsheets/d/1Wbcosgy-Xa1xXUArJSOenub6EfZHUSzc_bpJFWwQUf0/edit?usp=share_link"",""แม่ฮ่องสอน!J724"")+IMPORTRANGE(""https://docs.google.com/spreadsheets/d/1p7ERhsr0qZeSn-KSOdeHS9r0heI-lHtkcn2OH7hP0jQ/edit?usp=share_link"",""ลำปาง!"&amp;"J724"")+IMPORTRANGE(""https://docs.google.com/spreadsheets/d/1-uUXvimVhiU2U0bMN-xi2te0tS4X7DI2GLPnMjzl8cA/edit?usp=share_link"",""ลำพูน!J724"")+IMPORTRANGE(""https://docs.google.com/spreadsheets/d/17HrOaa5pBUI1onckFfumXB8xlg35qb2uBAFfF1D-Myo/edit?usp=shar"&amp;"e_link"",""สุโขทัย!J724"")+IMPORTRANGE(""https://docs.google.com/spreadsheets/d/1ubs5cl16eYL9gHbdHTJtmtYb9MGzHBs7CAphn8kNCgM/edit?usp=share_link"",""อุตรดิตถ์!J724"")+IMPORTRANGE(""https://docs.google.com/spreadsheets/d/1kII0BjS6CtVrBvI8IrytgPdxDrlyQDyigz"&amp;"MsohRtDMs/edit?usp=share_link"",""อุทัยธานี!J724"")
"),7)</f>
        <v>7</v>
      </c>
      <c r="K724" s="38"/>
      <c r="L724" s="733"/>
      <c r="M724" s="189"/>
      <c r="N724" s="733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11"/>
      <c r="B725" s="540"/>
      <c r="C725" s="540"/>
      <c r="D725" s="540"/>
      <c r="E725" s="540"/>
      <c r="F725" s="540"/>
      <c r="G725" s="189"/>
      <c r="H725" s="182" t="s">
        <v>46</v>
      </c>
      <c r="I725" s="732">
        <f ca="1">IFERROR(__xludf.DUMMYFUNCTION("IMPORTRANGE(""https://docs.google.com/spreadsheets/d/1KxicF4apzSqm0-jIpmueT4kyZtE-Cwn5zskl7GD4loQ/edit?usp=share_link"",""กำแพงเพชร!I725"")+IMPORTRANGE(""https://docs.google.com/spreadsheets/d/1ZNYWeiFoFA1K1U4xKWqRX29MBvEyRHXORjo734Gnq_c/edit?usp=share_li"&amp;"nk"",""เชียงราย!I725"")
+IMPORTRANGE(""https://docs.google.com/spreadsheets/d/1Jgv0Y7YlHDtsiDawwp-uvifEJ8HVaSn0k2aGHG8-hwM/edit?usp=share_link"",""เชียงใหม่!I725"")+IMPORTRANGE(""https://docs.google.com/spreadsheets/d/1JWG2rZePOz9pe-f-ObA-yDr0VoOX2kSb0qIi"&amp;"x2mTUo8/edit?usp=share_link"",""ตาก!I725"")+IMPORTRANGE(""https://docs.google.com/spreadsheets/d/10nSRjK08hx8Y6HgSOQKNw81lyY46Zc7U_Cj72hBMp9U/edit?usp=share_link"",""นครสวรรค์!I725"")+IMPORTRANGE(""https://docs.google.com/spreadsheets/d/1gFVb7qd7amutrIxAA"&amp;"oM7lcy35hllxznovot8lyOfvDo/edit?usp=share_link"",""น่าน!I725"")+IMPORTRANGE(""https://docs.google.com/spreadsheets/d/1K0Aa9s-6EuHE5M0FG1F9aHLXRCOV917xvycTdLdct0w/edit?usp=share_link"",""พะเยา!I725"")+IMPORTRANGE(""https://docs.google.com/spreadsheets/d/1Y"&amp;"9LPKx95PyL5OKy09d-KbKJSuuEZCFdkhYjwC0XQjBA/edit?usp=share_link"",""พิจิตร!I725"")+IMPORTRANGE(""https://docs.google.com/spreadsheets/d/16OMuOwy2eVqZcYWOouQtTpa8X1L23h4660uVHc0C8os/edit?usp=share_link"",""พิษณุโลก!I725"")+IMPORTRANGE(""https://docs.google."&amp;"com/spreadsheets/d/1GfgTldLG6k77HXaMQzaafODklYuucJZQNs_GAPEfZyY/edit?usp=share_link"",""เพชรบูรณ์!I725"")+IMPORTRANGE(""https://docs.google.com/spreadsheets/d/1gvTMYAnm7v1yG1BKWFtr0DnaTsq59oW9dwWvFgq6hs0/edit?usp=share_link"",""แพร่!I725"")+IMPORTRANGE("""&amp;"https://docs.google.com/spreadsheets/d/1Wbcosgy-Xa1xXUArJSOenub6EfZHUSzc_bpJFWwQUf0/edit?usp=share_link"",""แม่ฮ่องสอน!I725"")+IMPORTRANGE(""https://docs.google.com/spreadsheets/d/1p7ERhsr0qZeSn-KSOdeHS9r0heI-lHtkcn2OH7hP0jQ/edit?usp=share_link"",""ลำปาง!"&amp;"I725"")+IMPORTRANGE(""https://docs.google.com/spreadsheets/d/1-uUXvimVhiU2U0bMN-xi2te0tS4X7DI2GLPnMjzl8cA/edit?usp=share_link"",""ลำพูน!I725"")+IMPORTRANGE(""https://docs.google.com/spreadsheets/d/17HrOaa5pBUI1onckFfumXB8xlg35qb2uBAFfF1D-Myo/edit?usp=shar"&amp;"e_link"",""สุโขทัย!I725"")+IMPORTRANGE(""https://docs.google.com/spreadsheets/d/1ubs5cl16eYL9gHbdHTJtmtYb9MGzHBs7CAphn8kNCgM/edit?usp=share_link"",""อุตรดิตถ์!I725"")+IMPORTRANGE(""https://docs.google.com/spreadsheets/d/1kII0BjS6CtVrBvI8IrytgPdxDrlyQDyigz"&amp;"MsohRtDMs/edit?usp=share_link"",""อุทัยธานี!I725"")
"),1442)</f>
        <v>1442</v>
      </c>
      <c r="J725" s="37">
        <f ca="1">IFERROR(__xludf.DUMMYFUNCTION("IMPORTRANGE(""https://docs.google.com/spreadsheets/d/1KxicF4apzSqm0-jIpmueT4kyZtE-Cwn5zskl7GD4loQ/edit?usp=share_link"",""กำแพงเพชร!J725"")+IMPORTRANGE(""https://docs.google.com/spreadsheets/d/1ZNYWeiFoFA1K1U4xKWqRX29MBvEyRHXORjo734Gnq_c/edit?usp=share_li"&amp;"nk"",""เชียงราย!J725"")
+IMPORTRANGE(""https://docs.google.com/spreadsheets/d/1Jgv0Y7YlHDtsiDawwp-uvifEJ8HVaSn0k2aGHG8-hwM/edit?usp=share_link"",""เชียงใหม่!J725"")+IMPORTRANGE(""https://docs.google.com/spreadsheets/d/1JWG2rZePOz9pe-f-ObA-yDr0VoOX2kSb0qIi"&amp;"x2mTUo8/edit?usp=share_link"",""ตาก!J725"")+IMPORTRANGE(""https://docs.google.com/spreadsheets/d/10nSRjK08hx8Y6HgSOQKNw81lyY46Zc7U_Cj72hBMp9U/edit?usp=share_link"",""นครสวรรค์!J725"")+IMPORTRANGE(""https://docs.google.com/spreadsheets/d/1gFVb7qd7amutrIxAA"&amp;"oM7lcy35hllxznovot8lyOfvDo/edit?usp=share_link"",""น่าน!J725"")+IMPORTRANGE(""https://docs.google.com/spreadsheets/d/1K0Aa9s-6EuHE5M0FG1F9aHLXRCOV917xvycTdLdct0w/edit?usp=share_link"",""พะเยา!J725"")+IMPORTRANGE(""https://docs.google.com/spreadsheets/d/1Y"&amp;"9LPKx95PyL5OKy09d-KbKJSuuEZCFdkhYjwC0XQjBA/edit?usp=share_link"",""พิจิตร!J725"")+IMPORTRANGE(""https://docs.google.com/spreadsheets/d/16OMuOwy2eVqZcYWOouQtTpa8X1L23h4660uVHc0C8os/edit?usp=share_link"",""พิษณุโลก!J725"")+IMPORTRANGE(""https://docs.google."&amp;"com/spreadsheets/d/1GfgTldLG6k77HXaMQzaafODklYuucJZQNs_GAPEfZyY/edit?usp=share_link"",""เพชรบูรณ์!J725"")+IMPORTRANGE(""https://docs.google.com/spreadsheets/d/1gvTMYAnm7v1yG1BKWFtr0DnaTsq59oW9dwWvFgq6hs0/edit?usp=share_link"",""แพร่!J725"")+IMPORTRANGE("""&amp;"https://docs.google.com/spreadsheets/d/1Wbcosgy-Xa1xXUArJSOenub6EfZHUSzc_bpJFWwQUf0/edit?usp=share_link"",""แม่ฮ่องสอน!J725"")+IMPORTRANGE(""https://docs.google.com/spreadsheets/d/1p7ERhsr0qZeSn-KSOdeHS9r0heI-lHtkcn2OH7hP0jQ/edit?usp=share_link"",""ลำปาง!"&amp;"J725"")+IMPORTRANGE(""https://docs.google.com/spreadsheets/d/1-uUXvimVhiU2U0bMN-xi2te0tS4X7DI2GLPnMjzl8cA/edit?usp=share_link"",""ลำพูน!J725"")+IMPORTRANGE(""https://docs.google.com/spreadsheets/d/17HrOaa5pBUI1onckFfumXB8xlg35qb2uBAFfF1D-Myo/edit?usp=shar"&amp;"e_link"",""สุโขทัย!J725"")+IMPORTRANGE(""https://docs.google.com/spreadsheets/d/1ubs5cl16eYL9gHbdHTJtmtYb9MGzHBs7CAphn8kNCgM/edit?usp=share_link"",""อุตรดิตถ์!J725"")+IMPORTRANGE(""https://docs.google.com/spreadsheets/d/1kII0BjS6CtVrBvI8IrytgPdxDrlyQDyigz"&amp;"MsohRtDMs/edit?usp=share_link"",""อุทัยธานี!J725"")
"),147.59)</f>
        <v>147.59</v>
      </c>
      <c r="K725" s="38">
        <f t="shared" ref="K725:K726" ca="1" si="333">IF(I725&gt;0,J725*100/I725,0)</f>
        <v>10.235090152565881</v>
      </c>
      <c r="L725" s="733"/>
      <c r="M725" s="189"/>
      <c r="N725" s="733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11"/>
      <c r="B726" s="540"/>
      <c r="C726" s="540"/>
      <c r="D726" s="540"/>
      <c r="E726" s="541" t="s">
        <v>307</v>
      </c>
      <c r="F726" s="540"/>
      <c r="G726" s="189"/>
      <c r="H726" s="182" t="s">
        <v>35</v>
      </c>
      <c r="I726" s="732">
        <f ca="1">IFERROR(__xludf.DUMMYFUNCTION("IMPORTRANGE(""https://docs.google.com/spreadsheets/d/1KxicF4apzSqm0-jIpmueT4kyZtE-Cwn5zskl7GD4loQ/edit?usp=share_link"",""กำแพงเพชร!I726"")+IMPORTRANGE(""https://docs.google.com/spreadsheets/d/1ZNYWeiFoFA1K1U4xKWqRX29MBvEyRHXORjo734Gnq_c/edit?usp=share_li"&amp;"nk"",""เชียงราย!I726"")
+IMPORTRANGE(""https://docs.google.com/spreadsheets/d/1Jgv0Y7YlHDtsiDawwp-uvifEJ8HVaSn0k2aGHG8-hwM/edit?usp=share_link"",""เชียงใหม่!I726"")+IMPORTRANGE(""https://docs.google.com/spreadsheets/d/1JWG2rZePOz9pe-f-ObA-yDr0VoOX2kSb0qIi"&amp;"x2mTUo8/edit?usp=share_link"",""ตาก!I726"")+IMPORTRANGE(""https://docs.google.com/spreadsheets/d/10nSRjK08hx8Y6HgSOQKNw81lyY46Zc7U_Cj72hBMp9U/edit?usp=share_link"",""นครสวรรค์!I726"")+IMPORTRANGE(""https://docs.google.com/spreadsheets/d/1gFVb7qd7amutrIxAA"&amp;"oM7lcy35hllxznovot8lyOfvDo/edit?usp=share_link"",""น่าน!I726"")+IMPORTRANGE(""https://docs.google.com/spreadsheets/d/1K0Aa9s-6EuHE5M0FG1F9aHLXRCOV917xvycTdLdct0w/edit?usp=share_link"",""พะเยา!I726"")+IMPORTRANGE(""https://docs.google.com/spreadsheets/d/1Y"&amp;"9LPKx95PyL5OKy09d-KbKJSuuEZCFdkhYjwC0XQjBA/edit?usp=share_link"",""พิจิตร!I726"")+IMPORTRANGE(""https://docs.google.com/spreadsheets/d/16OMuOwy2eVqZcYWOouQtTpa8X1L23h4660uVHc0C8os/edit?usp=share_link"",""พิษณุโลก!I726"")+IMPORTRANGE(""https://docs.google."&amp;"com/spreadsheets/d/1GfgTldLG6k77HXaMQzaafODklYuucJZQNs_GAPEfZyY/edit?usp=share_link"",""เพชรบูรณ์!I726"")+IMPORTRANGE(""https://docs.google.com/spreadsheets/d/1gvTMYAnm7v1yG1BKWFtr0DnaTsq59oW9dwWvFgq6hs0/edit?usp=share_link"",""แพร่!I726"")+IMPORTRANGE("""&amp;"https://docs.google.com/spreadsheets/d/1Wbcosgy-Xa1xXUArJSOenub6EfZHUSzc_bpJFWwQUf0/edit?usp=share_link"",""แม่ฮ่องสอน!I726"")+IMPORTRANGE(""https://docs.google.com/spreadsheets/d/1p7ERhsr0qZeSn-KSOdeHS9r0heI-lHtkcn2OH7hP0jQ/edit?usp=share_link"",""ลำปาง!"&amp;"I726"")+IMPORTRANGE(""https://docs.google.com/spreadsheets/d/1-uUXvimVhiU2U0bMN-xi2te0tS4X7DI2GLPnMjzl8cA/edit?usp=share_link"",""ลำพูน!I726"")+IMPORTRANGE(""https://docs.google.com/spreadsheets/d/17HrOaa5pBUI1onckFfumXB8xlg35qb2uBAFfF1D-Myo/edit?usp=shar"&amp;"e_link"",""สุโขทัย!I726"")+IMPORTRANGE(""https://docs.google.com/spreadsheets/d/1ubs5cl16eYL9gHbdHTJtmtYb9MGzHBs7CAphn8kNCgM/edit?usp=share_link"",""อุตรดิตถ์!I726"")+IMPORTRANGE(""https://docs.google.com/spreadsheets/d/1kII0BjS6CtVrBvI8IrytgPdxDrlyQDyigz"&amp;"MsohRtDMs/edit?usp=share_link"",""อุทัยธานี!I726"")
"),28)</f>
        <v>28</v>
      </c>
      <c r="J726" s="37">
        <f ca="1">IFERROR(__xludf.DUMMYFUNCTION("IMPORTRANGE(""https://docs.google.com/spreadsheets/d/1KxicF4apzSqm0-jIpmueT4kyZtE-Cwn5zskl7GD4loQ/edit?usp=share_link"",""กำแพงเพชร!J726"")+IMPORTRANGE(""https://docs.google.com/spreadsheets/d/1ZNYWeiFoFA1K1U4xKWqRX29MBvEyRHXORjo734Gnq_c/edit?usp=share_li"&amp;"nk"",""เชียงราย!J726"")
+IMPORTRANGE(""https://docs.google.com/spreadsheets/d/1Jgv0Y7YlHDtsiDawwp-uvifEJ8HVaSn0k2aGHG8-hwM/edit?usp=share_link"",""เชียงใหม่!J726"")+IMPORTRANGE(""https://docs.google.com/spreadsheets/d/1JWG2rZePOz9pe-f-ObA-yDr0VoOX2kSb0qIi"&amp;"x2mTUo8/edit?usp=share_link"",""ตาก!J726"")+IMPORTRANGE(""https://docs.google.com/spreadsheets/d/10nSRjK08hx8Y6HgSOQKNw81lyY46Zc7U_Cj72hBMp9U/edit?usp=share_link"",""นครสวรรค์!J726"")+IMPORTRANGE(""https://docs.google.com/spreadsheets/d/1gFVb7qd7amutrIxAA"&amp;"oM7lcy35hllxznovot8lyOfvDo/edit?usp=share_link"",""น่าน!J726"")+IMPORTRANGE(""https://docs.google.com/spreadsheets/d/1K0Aa9s-6EuHE5M0FG1F9aHLXRCOV917xvycTdLdct0w/edit?usp=share_link"",""พะเยา!J726"")+IMPORTRANGE(""https://docs.google.com/spreadsheets/d/1Y"&amp;"9LPKx95PyL5OKy09d-KbKJSuuEZCFdkhYjwC0XQjBA/edit?usp=share_link"",""พิจิตร!J726"")+IMPORTRANGE(""https://docs.google.com/spreadsheets/d/16OMuOwy2eVqZcYWOouQtTpa8X1L23h4660uVHc0C8os/edit?usp=share_link"",""พิษณุโลก!J726"")+IMPORTRANGE(""https://docs.google."&amp;"com/spreadsheets/d/1GfgTldLG6k77HXaMQzaafODklYuucJZQNs_GAPEfZyY/edit?usp=share_link"",""เพชรบูรณ์!J726"")+IMPORTRANGE(""https://docs.google.com/spreadsheets/d/1gvTMYAnm7v1yG1BKWFtr0DnaTsq59oW9dwWvFgq6hs0/edit?usp=share_link"",""แพร่!J726"")+IMPORTRANGE("""&amp;"https://docs.google.com/spreadsheets/d/1Wbcosgy-Xa1xXUArJSOenub6EfZHUSzc_bpJFWwQUf0/edit?usp=share_link"",""แม่ฮ่องสอน!J726"")+IMPORTRANGE(""https://docs.google.com/spreadsheets/d/1p7ERhsr0qZeSn-KSOdeHS9r0heI-lHtkcn2OH7hP0jQ/edit?usp=share_link"",""ลำปาง!"&amp;"J726"")+IMPORTRANGE(""https://docs.google.com/spreadsheets/d/1-uUXvimVhiU2U0bMN-xi2te0tS4X7DI2GLPnMjzl8cA/edit?usp=share_link"",""ลำพูน!J726"")+IMPORTRANGE(""https://docs.google.com/spreadsheets/d/17HrOaa5pBUI1onckFfumXB8xlg35qb2uBAFfF1D-Myo/edit?usp=shar"&amp;"e_link"",""สุโขทัย!J726"")+IMPORTRANGE(""https://docs.google.com/spreadsheets/d/1ubs5cl16eYL9gHbdHTJtmtYb9MGzHBs7CAphn8kNCgM/edit?usp=share_link"",""อุตรดิตถ์!J726"")+IMPORTRANGE(""https://docs.google.com/spreadsheets/d/1kII0BjS6CtVrBvI8IrytgPdxDrlyQDyigz"&amp;"MsohRtDMs/edit?usp=share_link"",""อุทัยธานี!J726"")
"),0)</f>
        <v>0</v>
      </c>
      <c r="K726" s="38">
        <f t="shared" ca="1" si="333"/>
        <v>0</v>
      </c>
      <c r="L726" s="38"/>
      <c r="M726" s="189"/>
      <c r="N726" s="733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11"/>
      <c r="B727" s="540"/>
      <c r="C727" s="540"/>
      <c r="D727" s="540"/>
      <c r="E727" s="540"/>
      <c r="F727" s="540"/>
      <c r="G727" s="189"/>
      <c r="H727" s="182" t="s">
        <v>34</v>
      </c>
      <c r="I727" s="732"/>
      <c r="J727" s="37">
        <f ca="1">IFERROR(__xludf.DUMMYFUNCTION("IMPORTRANGE(""https://docs.google.com/spreadsheets/d/1KxicF4apzSqm0-jIpmueT4kyZtE-Cwn5zskl7GD4loQ/edit?usp=share_link"",""กำแพงเพชร!J727"")+IMPORTRANGE(""https://docs.google.com/spreadsheets/d/1ZNYWeiFoFA1K1U4xKWqRX29MBvEyRHXORjo734Gnq_c/edit?usp=share_li"&amp;"nk"",""เชียงราย!J727"")
+IMPORTRANGE(""https://docs.google.com/spreadsheets/d/1Jgv0Y7YlHDtsiDawwp-uvifEJ8HVaSn0k2aGHG8-hwM/edit?usp=share_link"",""เชียงใหม่!J727"")+IMPORTRANGE(""https://docs.google.com/spreadsheets/d/1JWG2rZePOz9pe-f-ObA-yDr0VoOX2kSb0qIi"&amp;"x2mTUo8/edit?usp=share_link"",""ตาก!J727"")+IMPORTRANGE(""https://docs.google.com/spreadsheets/d/10nSRjK08hx8Y6HgSOQKNw81lyY46Zc7U_Cj72hBMp9U/edit?usp=share_link"",""นครสวรรค์!J727"")+IMPORTRANGE(""https://docs.google.com/spreadsheets/d/1gFVb7qd7amutrIxAA"&amp;"oM7lcy35hllxznovot8lyOfvDo/edit?usp=share_link"",""น่าน!J727"")+IMPORTRANGE(""https://docs.google.com/spreadsheets/d/1K0Aa9s-6EuHE5M0FG1F9aHLXRCOV917xvycTdLdct0w/edit?usp=share_link"",""พะเยา!J727"")+IMPORTRANGE(""https://docs.google.com/spreadsheets/d/1Y"&amp;"9LPKx95PyL5OKy09d-KbKJSuuEZCFdkhYjwC0XQjBA/edit?usp=share_link"",""พิจิตร!J727"")+IMPORTRANGE(""https://docs.google.com/spreadsheets/d/16OMuOwy2eVqZcYWOouQtTpa8X1L23h4660uVHc0C8os/edit?usp=share_link"",""พิษณุโลก!J727"")+IMPORTRANGE(""https://docs.google."&amp;"com/spreadsheets/d/1GfgTldLG6k77HXaMQzaafODklYuucJZQNs_GAPEfZyY/edit?usp=share_link"",""เพชรบูรณ์!J727"")+IMPORTRANGE(""https://docs.google.com/spreadsheets/d/1gvTMYAnm7v1yG1BKWFtr0DnaTsq59oW9dwWvFgq6hs0/edit?usp=share_link"",""แพร่!J727"")+IMPORTRANGE("""&amp;"https://docs.google.com/spreadsheets/d/1Wbcosgy-Xa1xXUArJSOenub6EfZHUSzc_bpJFWwQUf0/edit?usp=share_link"",""แม่ฮ่องสอน!J727"")+IMPORTRANGE(""https://docs.google.com/spreadsheets/d/1p7ERhsr0qZeSn-KSOdeHS9r0heI-lHtkcn2OH7hP0jQ/edit?usp=share_link"",""ลำปาง!"&amp;"J727"")+IMPORTRANGE(""https://docs.google.com/spreadsheets/d/1-uUXvimVhiU2U0bMN-xi2te0tS4X7DI2GLPnMjzl8cA/edit?usp=share_link"",""ลำพูน!J727"")+IMPORTRANGE(""https://docs.google.com/spreadsheets/d/17HrOaa5pBUI1onckFfumXB8xlg35qb2uBAFfF1D-Myo/edit?usp=shar"&amp;"e_link"",""สุโขทัย!J727"")+IMPORTRANGE(""https://docs.google.com/spreadsheets/d/1ubs5cl16eYL9gHbdHTJtmtYb9MGzHBs7CAphn8kNCgM/edit?usp=share_link"",""อุตรดิตถ์!J727"")+IMPORTRANGE(""https://docs.google.com/spreadsheets/d/1kII0BjS6CtVrBvI8IrytgPdxDrlyQDyigz"&amp;"MsohRtDMs/edit?usp=share_link"",""อุทัยธานี!J727"")
"),0)</f>
        <v>0</v>
      </c>
      <c r="K727" s="38"/>
      <c r="L727" s="733"/>
      <c r="M727" s="189"/>
      <c r="N727" s="733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11"/>
      <c r="B728" s="540"/>
      <c r="C728" s="540"/>
      <c r="D728" s="540"/>
      <c r="E728" s="540"/>
      <c r="F728" s="540"/>
      <c r="G728" s="189"/>
      <c r="H728" s="182" t="s">
        <v>46</v>
      </c>
      <c r="I728" s="732">
        <f ca="1">IFERROR(__xludf.DUMMYFUNCTION("IMPORTRANGE(""https://docs.google.com/spreadsheets/d/1KxicF4apzSqm0-jIpmueT4kyZtE-Cwn5zskl7GD4loQ/edit?usp=share_link"",""กำแพงเพชร!I728"")+IMPORTRANGE(""https://docs.google.com/spreadsheets/d/1ZNYWeiFoFA1K1U4xKWqRX29MBvEyRHXORjo734Gnq_c/edit?usp=share_li"&amp;"nk"",""เชียงราย!I728"")
+IMPORTRANGE(""https://docs.google.com/spreadsheets/d/1Jgv0Y7YlHDtsiDawwp-uvifEJ8HVaSn0k2aGHG8-hwM/edit?usp=share_link"",""เชียงใหม่!I728"")+IMPORTRANGE(""https://docs.google.com/spreadsheets/d/1JWG2rZePOz9pe-f-ObA-yDr0VoOX2kSb0qIi"&amp;"x2mTUo8/edit?usp=share_link"",""ตาก!I728"")+IMPORTRANGE(""https://docs.google.com/spreadsheets/d/10nSRjK08hx8Y6HgSOQKNw81lyY46Zc7U_Cj72hBMp9U/edit?usp=share_link"",""นครสวรรค์!I728"")+IMPORTRANGE(""https://docs.google.com/spreadsheets/d/1gFVb7qd7amutrIxAA"&amp;"oM7lcy35hllxznovot8lyOfvDo/edit?usp=share_link"",""น่าน!I728"")+IMPORTRANGE(""https://docs.google.com/spreadsheets/d/1K0Aa9s-6EuHE5M0FG1F9aHLXRCOV917xvycTdLdct0w/edit?usp=share_link"",""พะเยา!I728"")+IMPORTRANGE(""https://docs.google.com/spreadsheets/d/1Y"&amp;"9LPKx95PyL5OKy09d-KbKJSuuEZCFdkhYjwC0XQjBA/edit?usp=share_link"",""พิจิตร!I728"")+IMPORTRANGE(""https://docs.google.com/spreadsheets/d/16OMuOwy2eVqZcYWOouQtTpa8X1L23h4660uVHc0C8os/edit?usp=share_link"",""พิษณุโลก!I728"")+IMPORTRANGE(""https://docs.google."&amp;"com/spreadsheets/d/1GfgTldLG6k77HXaMQzaafODklYuucJZQNs_GAPEfZyY/edit?usp=share_link"",""เพชรบูรณ์!I728"")+IMPORTRANGE(""https://docs.google.com/spreadsheets/d/1gvTMYAnm7v1yG1BKWFtr0DnaTsq59oW9dwWvFgq6hs0/edit?usp=share_link"",""แพร่!I728"")+IMPORTRANGE("""&amp;"https://docs.google.com/spreadsheets/d/1Wbcosgy-Xa1xXUArJSOenub6EfZHUSzc_bpJFWwQUf0/edit?usp=share_link"",""แม่ฮ่องสอน!I728"")+IMPORTRANGE(""https://docs.google.com/spreadsheets/d/1p7ERhsr0qZeSn-KSOdeHS9r0heI-lHtkcn2OH7hP0jQ/edit?usp=share_link"",""ลำปาง!"&amp;"I728"")+IMPORTRANGE(""https://docs.google.com/spreadsheets/d/1-uUXvimVhiU2U0bMN-xi2te0tS4X7DI2GLPnMjzl8cA/edit?usp=share_link"",""ลำพูน!I728"")+IMPORTRANGE(""https://docs.google.com/spreadsheets/d/17HrOaa5pBUI1onckFfumXB8xlg35qb2uBAFfF1D-Myo/edit?usp=shar"&amp;"e_link"",""สุโขทัย!I728"")+IMPORTRANGE(""https://docs.google.com/spreadsheets/d/1ubs5cl16eYL9gHbdHTJtmtYb9MGzHBs7CAphn8kNCgM/edit?usp=share_link"",""อุตรดิตถ์!I728"")+IMPORTRANGE(""https://docs.google.com/spreadsheets/d/1kII0BjS6CtVrBvI8IrytgPdxDrlyQDyigz"&amp;"MsohRtDMs/edit?usp=share_link"",""อุทัยธานี!I728"")
"),217)</f>
        <v>217</v>
      </c>
      <c r="J728" s="37">
        <f ca="1">IFERROR(__xludf.DUMMYFUNCTION("IMPORTRANGE(""https://docs.google.com/spreadsheets/d/1KxicF4apzSqm0-jIpmueT4kyZtE-Cwn5zskl7GD4loQ/edit?usp=share_link"",""กำแพงเพชร!J728"")+IMPORTRANGE(""https://docs.google.com/spreadsheets/d/1ZNYWeiFoFA1K1U4xKWqRX29MBvEyRHXORjo734Gnq_c/edit?usp=share_li"&amp;"nk"",""เชียงราย!J728"")
+IMPORTRANGE(""https://docs.google.com/spreadsheets/d/1Jgv0Y7YlHDtsiDawwp-uvifEJ8HVaSn0k2aGHG8-hwM/edit?usp=share_link"",""เชียงใหม่!J728"")+IMPORTRANGE(""https://docs.google.com/spreadsheets/d/1JWG2rZePOz9pe-f-ObA-yDr0VoOX2kSb0qIi"&amp;"x2mTUo8/edit?usp=share_link"",""ตาก!J728"")+IMPORTRANGE(""https://docs.google.com/spreadsheets/d/10nSRjK08hx8Y6HgSOQKNw81lyY46Zc7U_Cj72hBMp9U/edit?usp=share_link"",""นครสวรรค์!J728"")+IMPORTRANGE(""https://docs.google.com/spreadsheets/d/1gFVb7qd7amutrIxAA"&amp;"oM7lcy35hllxznovot8lyOfvDo/edit?usp=share_link"",""น่าน!J728"")+IMPORTRANGE(""https://docs.google.com/spreadsheets/d/1K0Aa9s-6EuHE5M0FG1F9aHLXRCOV917xvycTdLdct0w/edit?usp=share_link"",""พะเยา!J728"")+IMPORTRANGE(""https://docs.google.com/spreadsheets/d/1Y"&amp;"9LPKx95PyL5OKy09d-KbKJSuuEZCFdkhYjwC0XQjBA/edit?usp=share_link"",""พิจิตร!J728"")+IMPORTRANGE(""https://docs.google.com/spreadsheets/d/16OMuOwy2eVqZcYWOouQtTpa8X1L23h4660uVHc0C8os/edit?usp=share_link"",""พิษณุโลก!J728"")+IMPORTRANGE(""https://docs.google."&amp;"com/spreadsheets/d/1GfgTldLG6k77HXaMQzaafODklYuucJZQNs_GAPEfZyY/edit?usp=share_link"",""เพชรบูรณ์!J728"")+IMPORTRANGE(""https://docs.google.com/spreadsheets/d/1gvTMYAnm7v1yG1BKWFtr0DnaTsq59oW9dwWvFgq6hs0/edit?usp=share_link"",""แพร่!J728"")+IMPORTRANGE("""&amp;"https://docs.google.com/spreadsheets/d/1Wbcosgy-Xa1xXUArJSOenub6EfZHUSzc_bpJFWwQUf0/edit?usp=share_link"",""แม่ฮ่องสอน!J728"")+IMPORTRANGE(""https://docs.google.com/spreadsheets/d/1p7ERhsr0qZeSn-KSOdeHS9r0heI-lHtkcn2OH7hP0jQ/edit?usp=share_link"",""ลำปาง!"&amp;"J728"")+IMPORTRANGE(""https://docs.google.com/spreadsheets/d/1-uUXvimVhiU2U0bMN-xi2te0tS4X7DI2GLPnMjzl8cA/edit?usp=share_link"",""ลำพูน!J728"")+IMPORTRANGE(""https://docs.google.com/spreadsheets/d/17HrOaa5pBUI1onckFfumXB8xlg35qb2uBAFfF1D-Myo/edit?usp=shar"&amp;"e_link"",""สุโขทัย!J728"")+IMPORTRANGE(""https://docs.google.com/spreadsheets/d/1ubs5cl16eYL9gHbdHTJtmtYb9MGzHBs7CAphn8kNCgM/edit?usp=share_link"",""อุตรดิตถ์!J728"")+IMPORTRANGE(""https://docs.google.com/spreadsheets/d/1kII0BjS6CtVrBvI8IrytgPdxDrlyQDyigz"&amp;"MsohRtDMs/edit?usp=share_link"",""อุทัยธานี!J728"")
"),0)</f>
        <v>0</v>
      </c>
      <c r="K728" s="38">
        <f t="shared" ref="K728:K729" ca="1" si="334">IF(I728&gt;0,J728*100/I728,0)</f>
        <v>0</v>
      </c>
      <c r="L728" s="733"/>
      <c r="M728" s="189"/>
      <c r="N728" s="733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11"/>
      <c r="B729" s="540"/>
      <c r="C729" s="540"/>
      <c r="D729" s="541" t="s">
        <v>308</v>
      </c>
      <c r="E729" s="540"/>
      <c r="F729" s="540"/>
      <c r="G729" s="189"/>
      <c r="H729" s="192" t="s">
        <v>46</v>
      </c>
      <c r="I729" s="735">
        <f ca="1">IFERROR(__xludf.DUMMYFUNCTION("IMPORTRANGE(""https://docs.google.com/spreadsheets/d/1KxicF4apzSqm0-jIpmueT4kyZtE-Cwn5zskl7GD4loQ/edit?usp=share_link"",""กำแพงเพชร!I729"")+IMPORTRANGE(""https://docs.google.com/spreadsheets/d/1ZNYWeiFoFA1K1U4xKWqRX29MBvEyRHXORjo734Gnq_c/edit?usp=share_li"&amp;"nk"",""เชียงราย!I729"")
+IMPORTRANGE(""https://docs.google.com/spreadsheets/d/1Jgv0Y7YlHDtsiDawwp-uvifEJ8HVaSn0k2aGHG8-hwM/edit?usp=share_link"",""เชียงใหม่!I729"")+IMPORTRANGE(""https://docs.google.com/spreadsheets/d/1JWG2rZePOz9pe-f-ObA-yDr0VoOX2kSb0qIi"&amp;"x2mTUo8/edit?usp=share_link"",""ตาก!I729"")+IMPORTRANGE(""https://docs.google.com/spreadsheets/d/10nSRjK08hx8Y6HgSOQKNw81lyY46Zc7U_Cj72hBMp9U/edit?usp=share_link"",""นครสวรรค์!I729"")+IMPORTRANGE(""https://docs.google.com/spreadsheets/d/1gFVb7qd7amutrIxAA"&amp;"oM7lcy35hllxznovot8lyOfvDo/edit?usp=share_link"",""น่าน!I729"")+IMPORTRANGE(""https://docs.google.com/spreadsheets/d/1K0Aa9s-6EuHE5M0FG1F9aHLXRCOV917xvycTdLdct0w/edit?usp=share_link"",""พะเยา!I729"")+IMPORTRANGE(""https://docs.google.com/spreadsheets/d/1Y"&amp;"9LPKx95PyL5OKy09d-KbKJSuuEZCFdkhYjwC0XQjBA/edit?usp=share_link"",""พิจิตร!I729"")+IMPORTRANGE(""https://docs.google.com/spreadsheets/d/16OMuOwy2eVqZcYWOouQtTpa8X1L23h4660uVHc0C8os/edit?usp=share_link"",""พิษณุโลก!I729"")+IMPORTRANGE(""https://docs.google."&amp;"com/spreadsheets/d/1GfgTldLG6k77HXaMQzaafODklYuucJZQNs_GAPEfZyY/edit?usp=share_link"",""เพชรบูรณ์!I729"")+IMPORTRANGE(""https://docs.google.com/spreadsheets/d/1gvTMYAnm7v1yG1BKWFtr0DnaTsq59oW9dwWvFgq6hs0/edit?usp=share_link"",""แพร่!I729"")+IMPORTRANGE("""&amp;"https://docs.google.com/spreadsheets/d/1Wbcosgy-Xa1xXUArJSOenub6EfZHUSzc_bpJFWwQUf0/edit?usp=share_link"",""แม่ฮ่องสอน!I729"")+IMPORTRANGE(""https://docs.google.com/spreadsheets/d/1p7ERhsr0qZeSn-KSOdeHS9r0heI-lHtkcn2OH7hP0jQ/edit?usp=share_link"",""ลำปาง!"&amp;"I729"")+IMPORTRANGE(""https://docs.google.com/spreadsheets/d/1-uUXvimVhiU2U0bMN-xi2te0tS4X7DI2GLPnMjzl8cA/edit?usp=share_link"",""ลำพูน!I729"")+IMPORTRANGE(""https://docs.google.com/spreadsheets/d/17HrOaa5pBUI1onckFfumXB8xlg35qb2uBAFfF1D-Myo/edit?usp=shar"&amp;"e_link"",""สุโขทัย!I729"")+IMPORTRANGE(""https://docs.google.com/spreadsheets/d/1ubs5cl16eYL9gHbdHTJtmtYb9MGzHBs7CAphn8kNCgM/edit?usp=share_link"",""อุตรดิตถ์!I729"")+IMPORTRANGE(""https://docs.google.com/spreadsheets/d/1kII0BjS6CtVrBvI8IrytgPdxDrlyQDyigz"&amp;"MsohRtDMs/edit?usp=share_link"",""อุทัยธานี!I729"")
"),210)</f>
        <v>210</v>
      </c>
      <c r="J729" s="194">
        <f ca="1">J732+J735</f>
        <v>151.72</v>
      </c>
      <c r="K729" s="195">
        <f t="shared" ca="1" si="334"/>
        <v>72.247619047619054</v>
      </c>
      <c r="L729" s="38"/>
      <c r="M729" s="189"/>
      <c r="N729" s="733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11"/>
      <c r="B730" s="540"/>
      <c r="C730" s="540"/>
      <c r="D730" s="540"/>
      <c r="E730" s="541" t="s">
        <v>309</v>
      </c>
      <c r="F730" s="540"/>
      <c r="G730" s="189"/>
      <c r="H730" s="182" t="s">
        <v>35</v>
      </c>
      <c r="I730" s="732"/>
      <c r="J730" s="183">
        <f ca="1">IFERROR(__xludf.DUMMYFUNCTION("IMPORTRANGE(""https://docs.google.com/spreadsheets/d/1KxicF4apzSqm0-jIpmueT4kyZtE-Cwn5zskl7GD4loQ/edit?usp=share_link"",""กำแพงเพชร!J730"")+IMPORTRANGE(""https://docs.google.com/spreadsheets/d/1ZNYWeiFoFA1K1U4xKWqRX29MBvEyRHXORjo734Gnq_c/edit?usp=share_li"&amp;"nk"",""เชียงราย!J730"")
+IMPORTRANGE(""https://docs.google.com/spreadsheets/d/1Jgv0Y7YlHDtsiDawwp-uvifEJ8HVaSn0k2aGHG8-hwM/edit?usp=share_link"",""เชียงใหม่!J730"")+IMPORTRANGE(""https://docs.google.com/spreadsheets/d/1JWG2rZePOz9pe-f-ObA-yDr0VoOX2kSb0qIi"&amp;"x2mTUo8/edit?usp=share_link"",""ตาก!J730"")+IMPORTRANGE(""https://docs.google.com/spreadsheets/d/10nSRjK08hx8Y6HgSOQKNw81lyY46Zc7U_Cj72hBMp9U/edit?usp=share_link"",""นครสวรรค์!J730"")+IMPORTRANGE(""https://docs.google.com/spreadsheets/d/1gFVb7qd7amutrIxAA"&amp;"oM7lcy35hllxznovot8lyOfvDo/edit?usp=share_link"",""น่าน!J730"")+IMPORTRANGE(""https://docs.google.com/spreadsheets/d/1K0Aa9s-6EuHE5M0FG1F9aHLXRCOV917xvycTdLdct0w/edit?usp=share_link"",""พะเยา!J730"")+IMPORTRANGE(""https://docs.google.com/spreadsheets/d/1Y"&amp;"9LPKx95PyL5OKy09d-KbKJSuuEZCFdkhYjwC0XQjBA/edit?usp=share_link"",""พิจิตร!J730"")+IMPORTRANGE(""https://docs.google.com/spreadsheets/d/16OMuOwy2eVqZcYWOouQtTpa8X1L23h4660uVHc0C8os/edit?usp=share_link"",""พิษณุโลก!J730"")+IMPORTRANGE(""https://docs.google."&amp;"com/spreadsheets/d/1GfgTldLG6k77HXaMQzaafODklYuucJZQNs_GAPEfZyY/edit?usp=share_link"",""เพชรบูรณ์!J730"")+IMPORTRANGE(""https://docs.google.com/spreadsheets/d/1gvTMYAnm7v1yG1BKWFtr0DnaTsq59oW9dwWvFgq6hs0/edit?usp=share_link"",""แพร่!J730"")+IMPORTRANGE("""&amp;"https://docs.google.com/spreadsheets/d/1Wbcosgy-Xa1xXUArJSOenub6EfZHUSzc_bpJFWwQUf0/edit?usp=share_link"",""แม่ฮ่องสอน!J730"")+IMPORTRANGE(""https://docs.google.com/spreadsheets/d/1p7ERhsr0qZeSn-KSOdeHS9r0heI-lHtkcn2OH7hP0jQ/edit?usp=share_link"",""ลำปาง!"&amp;"J730"")+IMPORTRANGE(""https://docs.google.com/spreadsheets/d/1-uUXvimVhiU2U0bMN-xi2te0tS4X7DI2GLPnMjzl8cA/edit?usp=share_link"",""ลำพูน!J730"")+IMPORTRANGE(""https://docs.google.com/spreadsheets/d/17HrOaa5pBUI1onckFfumXB8xlg35qb2uBAFfF1D-Myo/edit?usp=shar"&amp;"e_link"",""สุโขทัย!J730"")+IMPORTRANGE(""https://docs.google.com/spreadsheets/d/1ubs5cl16eYL9gHbdHTJtmtYb9MGzHBs7CAphn8kNCgM/edit?usp=share_link"",""อุตรดิตถ์!J730"")+IMPORTRANGE(""https://docs.google.com/spreadsheets/d/1kII0BjS6CtVrBvI8IrytgPdxDrlyQDyigz"&amp;"MsohRtDMs/edit?usp=share_link"",""อุทัยธานี!J730"")
"),5)</f>
        <v>5</v>
      </c>
      <c r="K730" s="38"/>
      <c r="L730" s="733"/>
      <c r="M730" s="38"/>
      <c r="N730" s="733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11"/>
      <c r="B731" s="540"/>
      <c r="C731" s="540"/>
      <c r="D731" s="540"/>
      <c r="E731" s="540"/>
      <c r="F731" s="540"/>
      <c r="G731" s="189"/>
      <c r="H731" s="182" t="s">
        <v>34</v>
      </c>
      <c r="I731" s="732"/>
      <c r="J731" s="183">
        <f ca="1">IFERROR(__xludf.DUMMYFUNCTION("IMPORTRANGE(""https://docs.google.com/spreadsheets/d/1KxicF4apzSqm0-jIpmueT4kyZtE-Cwn5zskl7GD4loQ/edit?usp=share_link"",""กำแพงเพชร!J731"")+IMPORTRANGE(""https://docs.google.com/spreadsheets/d/1ZNYWeiFoFA1K1U4xKWqRX29MBvEyRHXORjo734Gnq_c/edit?usp=share_li"&amp;"nk"",""เชียงราย!J731"")
+IMPORTRANGE(""https://docs.google.com/spreadsheets/d/1Jgv0Y7YlHDtsiDawwp-uvifEJ8HVaSn0k2aGHG8-hwM/edit?usp=share_link"",""เชียงใหม่!J731"")+IMPORTRANGE(""https://docs.google.com/spreadsheets/d/1JWG2rZePOz9pe-f-ObA-yDr0VoOX2kSb0qIi"&amp;"x2mTUo8/edit?usp=share_link"",""ตาก!J731"")+IMPORTRANGE(""https://docs.google.com/spreadsheets/d/10nSRjK08hx8Y6HgSOQKNw81lyY46Zc7U_Cj72hBMp9U/edit?usp=share_link"",""นครสวรรค์!J731"")+IMPORTRANGE(""https://docs.google.com/spreadsheets/d/1gFVb7qd7amutrIxAA"&amp;"oM7lcy35hllxznovot8lyOfvDo/edit?usp=share_link"",""น่าน!J731"")+IMPORTRANGE(""https://docs.google.com/spreadsheets/d/1K0Aa9s-6EuHE5M0FG1F9aHLXRCOV917xvycTdLdct0w/edit?usp=share_link"",""พะเยา!J731"")+IMPORTRANGE(""https://docs.google.com/spreadsheets/d/1Y"&amp;"9LPKx95PyL5OKy09d-KbKJSuuEZCFdkhYjwC0XQjBA/edit?usp=share_link"",""พิจิตร!J731"")+IMPORTRANGE(""https://docs.google.com/spreadsheets/d/16OMuOwy2eVqZcYWOouQtTpa8X1L23h4660uVHc0C8os/edit?usp=share_link"",""พิษณุโลก!J731"")+IMPORTRANGE(""https://docs.google."&amp;"com/spreadsheets/d/1GfgTldLG6k77HXaMQzaafODklYuucJZQNs_GAPEfZyY/edit?usp=share_link"",""เพชรบูรณ์!J731"")+IMPORTRANGE(""https://docs.google.com/spreadsheets/d/1gvTMYAnm7v1yG1BKWFtr0DnaTsq59oW9dwWvFgq6hs0/edit?usp=share_link"",""แพร่!J731"")+IMPORTRANGE("""&amp;"https://docs.google.com/spreadsheets/d/1Wbcosgy-Xa1xXUArJSOenub6EfZHUSzc_bpJFWwQUf0/edit?usp=share_link"",""แม่ฮ่องสอน!J731"")+IMPORTRANGE(""https://docs.google.com/spreadsheets/d/1p7ERhsr0qZeSn-KSOdeHS9r0heI-lHtkcn2OH7hP0jQ/edit?usp=share_link"",""ลำปาง!"&amp;"J731"")+IMPORTRANGE(""https://docs.google.com/spreadsheets/d/1-uUXvimVhiU2U0bMN-xi2te0tS4X7DI2GLPnMjzl8cA/edit?usp=share_link"",""ลำพูน!J731"")+IMPORTRANGE(""https://docs.google.com/spreadsheets/d/17HrOaa5pBUI1onckFfumXB8xlg35qb2uBAFfF1D-Myo/edit?usp=shar"&amp;"e_link"",""สุโขทัย!J731"")+IMPORTRANGE(""https://docs.google.com/spreadsheets/d/1ubs5cl16eYL9gHbdHTJtmtYb9MGzHBs7CAphn8kNCgM/edit?usp=share_link"",""อุตรดิตถ์!J731"")+IMPORTRANGE(""https://docs.google.com/spreadsheets/d/1kII0BjS6CtVrBvI8IrytgPdxDrlyQDyigz"&amp;"MsohRtDMs/edit?usp=share_link"",""อุทัยธานี!J731"")
"),5)</f>
        <v>5</v>
      </c>
      <c r="K731" s="38"/>
      <c r="L731" s="733"/>
      <c r="M731" s="38"/>
      <c r="N731" s="733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11"/>
      <c r="B732" s="540"/>
      <c r="C732" s="540"/>
      <c r="D732" s="540"/>
      <c r="E732" s="540"/>
      <c r="F732" s="540"/>
      <c r="G732" s="189"/>
      <c r="H732" s="182" t="s">
        <v>46</v>
      </c>
      <c r="I732" s="732"/>
      <c r="J732" s="183">
        <f ca="1">IFERROR(__xludf.DUMMYFUNCTION("IMPORTRANGE(""https://docs.google.com/spreadsheets/d/1KxicF4apzSqm0-jIpmueT4kyZtE-Cwn5zskl7GD4loQ/edit?usp=share_link"",""กำแพงเพชร!J732"")+IMPORTRANGE(""https://docs.google.com/spreadsheets/d/1ZNYWeiFoFA1K1U4xKWqRX29MBvEyRHXORjo734Gnq_c/edit?usp=share_li"&amp;"nk"",""เชียงราย!J732"")
+IMPORTRANGE(""https://docs.google.com/spreadsheets/d/1Jgv0Y7YlHDtsiDawwp-uvifEJ8HVaSn0k2aGHG8-hwM/edit?usp=share_link"",""เชียงใหม่!J732"")+IMPORTRANGE(""https://docs.google.com/spreadsheets/d/1JWG2rZePOz9pe-f-ObA-yDr0VoOX2kSb0qIi"&amp;"x2mTUo8/edit?usp=share_link"",""ตาก!J732"")+IMPORTRANGE(""https://docs.google.com/spreadsheets/d/10nSRjK08hx8Y6HgSOQKNw81lyY46Zc7U_Cj72hBMp9U/edit?usp=share_link"",""นครสวรรค์!J732"")+IMPORTRANGE(""https://docs.google.com/spreadsheets/d/1gFVb7qd7amutrIxAA"&amp;"oM7lcy35hllxznovot8lyOfvDo/edit?usp=share_link"",""น่าน!J732"")+IMPORTRANGE(""https://docs.google.com/spreadsheets/d/1K0Aa9s-6EuHE5M0FG1F9aHLXRCOV917xvycTdLdct0w/edit?usp=share_link"",""พะเยา!J732"")+IMPORTRANGE(""https://docs.google.com/spreadsheets/d/1Y"&amp;"9LPKx95PyL5OKy09d-KbKJSuuEZCFdkhYjwC0XQjBA/edit?usp=share_link"",""พิจิตร!J732"")+IMPORTRANGE(""https://docs.google.com/spreadsheets/d/16OMuOwy2eVqZcYWOouQtTpa8X1L23h4660uVHc0C8os/edit?usp=share_link"",""พิษณุโลก!J732"")+IMPORTRANGE(""https://docs.google."&amp;"com/spreadsheets/d/1GfgTldLG6k77HXaMQzaafODklYuucJZQNs_GAPEfZyY/edit?usp=share_link"",""เพชรบูรณ์!J732"")+IMPORTRANGE(""https://docs.google.com/spreadsheets/d/1gvTMYAnm7v1yG1BKWFtr0DnaTsq59oW9dwWvFgq6hs0/edit?usp=share_link"",""แพร่!J732"")+IMPORTRANGE("""&amp;"https://docs.google.com/spreadsheets/d/1Wbcosgy-Xa1xXUArJSOenub6EfZHUSzc_bpJFWwQUf0/edit?usp=share_link"",""แม่ฮ่องสอน!J732"")+IMPORTRANGE(""https://docs.google.com/spreadsheets/d/1p7ERhsr0qZeSn-KSOdeHS9r0heI-lHtkcn2OH7hP0jQ/edit?usp=share_link"",""ลำปาง!"&amp;"J732"")+IMPORTRANGE(""https://docs.google.com/spreadsheets/d/1-uUXvimVhiU2U0bMN-xi2te0tS4X7DI2GLPnMjzl8cA/edit?usp=share_link"",""ลำพูน!J732"")+IMPORTRANGE(""https://docs.google.com/spreadsheets/d/17HrOaa5pBUI1onckFfumXB8xlg35qb2uBAFfF1D-Myo/edit?usp=shar"&amp;"e_link"",""สุโขทัย!J732"")+IMPORTRANGE(""https://docs.google.com/spreadsheets/d/1ubs5cl16eYL9gHbdHTJtmtYb9MGzHBs7CAphn8kNCgM/edit?usp=share_link"",""อุตรดิตถ์!J732"")+IMPORTRANGE(""https://docs.google.com/spreadsheets/d/1kII0BjS6CtVrBvI8IrytgPdxDrlyQDyigz"&amp;"MsohRtDMs/edit?usp=share_link"",""อุทัยธานี!J732"")
"),94.48)</f>
        <v>94.48</v>
      </c>
      <c r="K732" s="38"/>
      <c r="L732" s="733"/>
      <c r="M732" s="38"/>
      <c r="N732" s="733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11"/>
      <c r="B733" s="540"/>
      <c r="C733" s="540"/>
      <c r="D733" s="540"/>
      <c r="E733" s="541" t="s">
        <v>310</v>
      </c>
      <c r="F733" s="540"/>
      <c r="G733" s="189"/>
      <c r="H733" s="182" t="s">
        <v>35</v>
      </c>
      <c r="I733" s="732"/>
      <c r="J733" s="183">
        <f ca="1">IFERROR(__xludf.DUMMYFUNCTION("IMPORTRANGE(""https://docs.google.com/spreadsheets/d/1KxicF4apzSqm0-jIpmueT4kyZtE-Cwn5zskl7GD4loQ/edit?usp=share_link"",""กำแพงเพชร!J733"")+IMPORTRANGE(""https://docs.google.com/spreadsheets/d/1ZNYWeiFoFA1K1U4xKWqRX29MBvEyRHXORjo734Gnq_c/edit?usp=share_li"&amp;"nk"",""เชียงราย!J733"")
+IMPORTRANGE(""https://docs.google.com/spreadsheets/d/1Jgv0Y7YlHDtsiDawwp-uvifEJ8HVaSn0k2aGHG8-hwM/edit?usp=share_link"",""เชียงใหม่!J733"")+IMPORTRANGE(""https://docs.google.com/spreadsheets/d/1JWG2rZePOz9pe-f-ObA-yDr0VoOX2kSb0qIi"&amp;"x2mTUo8/edit?usp=share_link"",""ตาก!J733"")+IMPORTRANGE(""https://docs.google.com/spreadsheets/d/10nSRjK08hx8Y6HgSOQKNw81lyY46Zc7U_Cj72hBMp9U/edit?usp=share_link"",""นครสวรรค์!J733"")+IMPORTRANGE(""https://docs.google.com/spreadsheets/d/1gFVb7qd7amutrIxAA"&amp;"oM7lcy35hllxznovot8lyOfvDo/edit?usp=share_link"",""น่าน!J733"")+IMPORTRANGE(""https://docs.google.com/spreadsheets/d/1K0Aa9s-6EuHE5M0FG1F9aHLXRCOV917xvycTdLdct0w/edit?usp=share_link"",""พะเยา!J733"")+IMPORTRANGE(""https://docs.google.com/spreadsheets/d/1Y"&amp;"9LPKx95PyL5OKy09d-KbKJSuuEZCFdkhYjwC0XQjBA/edit?usp=share_link"",""พิจิตร!J733"")+IMPORTRANGE(""https://docs.google.com/spreadsheets/d/16OMuOwy2eVqZcYWOouQtTpa8X1L23h4660uVHc0C8os/edit?usp=share_link"",""พิษณุโลก!J733"")+IMPORTRANGE(""https://docs.google."&amp;"com/spreadsheets/d/1GfgTldLG6k77HXaMQzaafODklYuucJZQNs_GAPEfZyY/edit?usp=share_link"",""เพชรบูรณ์!J733"")+IMPORTRANGE(""https://docs.google.com/spreadsheets/d/1gvTMYAnm7v1yG1BKWFtr0DnaTsq59oW9dwWvFgq6hs0/edit?usp=share_link"",""แพร่!J733"")+IMPORTRANGE("""&amp;"https://docs.google.com/spreadsheets/d/1Wbcosgy-Xa1xXUArJSOenub6EfZHUSzc_bpJFWwQUf0/edit?usp=share_link"",""แม่ฮ่องสอน!J733"")+IMPORTRANGE(""https://docs.google.com/spreadsheets/d/1p7ERhsr0qZeSn-KSOdeHS9r0heI-lHtkcn2OH7hP0jQ/edit?usp=share_link"",""ลำปาง!"&amp;"J733"")+IMPORTRANGE(""https://docs.google.com/spreadsheets/d/1-uUXvimVhiU2U0bMN-xi2te0tS4X7DI2GLPnMjzl8cA/edit?usp=share_link"",""ลำพูน!J733"")+IMPORTRANGE(""https://docs.google.com/spreadsheets/d/17HrOaa5pBUI1onckFfumXB8xlg35qb2uBAFfF1D-Myo/edit?usp=shar"&amp;"e_link"",""สุโขทัย!J733"")+IMPORTRANGE(""https://docs.google.com/spreadsheets/d/1ubs5cl16eYL9gHbdHTJtmtYb9MGzHBs7CAphn8kNCgM/edit?usp=share_link"",""อุตรดิตถ์!J733"")+IMPORTRANGE(""https://docs.google.com/spreadsheets/d/1kII0BjS6CtVrBvI8IrytgPdxDrlyQDyigz"&amp;"MsohRtDMs/edit?usp=share_link"",""อุทัยธานี!J733"")
"),3)</f>
        <v>3</v>
      </c>
      <c r="K733" s="38"/>
      <c r="L733" s="733"/>
      <c r="M733" s="38"/>
      <c r="N733" s="733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11"/>
      <c r="B734" s="540"/>
      <c r="C734" s="540"/>
      <c r="D734" s="540"/>
      <c r="E734" s="540"/>
      <c r="F734" s="540"/>
      <c r="G734" s="189"/>
      <c r="H734" s="182" t="s">
        <v>34</v>
      </c>
      <c r="I734" s="732"/>
      <c r="J734" s="183">
        <f ca="1">IFERROR(__xludf.DUMMYFUNCTION("IMPORTRANGE(""https://docs.google.com/spreadsheets/d/1KxicF4apzSqm0-jIpmueT4kyZtE-Cwn5zskl7GD4loQ/edit?usp=share_link"",""กำแพงเพชร!J734"")+IMPORTRANGE(""https://docs.google.com/spreadsheets/d/1ZNYWeiFoFA1K1U4xKWqRX29MBvEyRHXORjo734Gnq_c/edit?usp=share_li"&amp;"nk"",""เชียงราย!J734"")
+IMPORTRANGE(""https://docs.google.com/spreadsheets/d/1Jgv0Y7YlHDtsiDawwp-uvifEJ8HVaSn0k2aGHG8-hwM/edit?usp=share_link"",""เชียงใหม่!J734"")+IMPORTRANGE(""https://docs.google.com/spreadsheets/d/1JWG2rZePOz9pe-f-ObA-yDr0VoOX2kSb0qIi"&amp;"x2mTUo8/edit?usp=share_link"",""ตาก!J734"")+IMPORTRANGE(""https://docs.google.com/spreadsheets/d/10nSRjK08hx8Y6HgSOQKNw81lyY46Zc7U_Cj72hBMp9U/edit?usp=share_link"",""นครสวรรค์!J734"")+IMPORTRANGE(""https://docs.google.com/spreadsheets/d/1gFVb7qd7amutrIxAA"&amp;"oM7lcy35hllxznovot8lyOfvDo/edit?usp=share_link"",""น่าน!J734"")+IMPORTRANGE(""https://docs.google.com/spreadsheets/d/1K0Aa9s-6EuHE5M0FG1F9aHLXRCOV917xvycTdLdct0w/edit?usp=share_link"",""พะเยา!J734"")+IMPORTRANGE(""https://docs.google.com/spreadsheets/d/1Y"&amp;"9LPKx95PyL5OKy09d-KbKJSuuEZCFdkhYjwC0XQjBA/edit?usp=share_link"",""พิจิตร!J734"")+IMPORTRANGE(""https://docs.google.com/spreadsheets/d/16OMuOwy2eVqZcYWOouQtTpa8X1L23h4660uVHc0C8os/edit?usp=share_link"",""พิษณุโลก!J734"")+IMPORTRANGE(""https://docs.google."&amp;"com/spreadsheets/d/1GfgTldLG6k77HXaMQzaafODklYuucJZQNs_GAPEfZyY/edit?usp=share_link"",""เพชรบูรณ์!J734"")+IMPORTRANGE(""https://docs.google.com/spreadsheets/d/1gvTMYAnm7v1yG1BKWFtr0DnaTsq59oW9dwWvFgq6hs0/edit?usp=share_link"",""แพร่!J734"")+IMPORTRANGE("""&amp;"https://docs.google.com/spreadsheets/d/1Wbcosgy-Xa1xXUArJSOenub6EfZHUSzc_bpJFWwQUf0/edit?usp=share_link"",""แม่ฮ่องสอน!J734"")+IMPORTRANGE(""https://docs.google.com/spreadsheets/d/1p7ERhsr0qZeSn-KSOdeHS9r0heI-lHtkcn2OH7hP0jQ/edit?usp=share_link"",""ลำปาง!"&amp;"J734"")+IMPORTRANGE(""https://docs.google.com/spreadsheets/d/1-uUXvimVhiU2U0bMN-xi2te0tS4X7DI2GLPnMjzl8cA/edit?usp=share_link"",""ลำพูน!J734"")+IMPORTRANGE(""https://docs.google.com/spreadsheets/d/17HrOaa5pBUI1onckFfumXB8xlg35qb2uBAFfF1D-Myo/edit?usp=shar"&amp;"e_link"",""สุโขทัย!J734"")+IMPORTRANGE(""https://docs.google.com/spreadsheets/d/1ubs5cl16eYL9gHbdHTJtmtYb9MGzHBs7CAphn8kNCgM/edit?usp=share_link"",""อุตรดิตถ์!J734"")+IMPORTRANGE(""https://docs.google.com/spreadsheets/d/1kII0BjS6CtVrBvI8IrytgPdxDrlyQDyigz"&amp;"MsohRtDMs/edit?usp=share_link"",""อุทัยธานี!J734"")
"),3)</f>
        <v>3</v>
      </c>
      <c r="K734" s="38"/>
      <c r="L734" s="733"/>
      <c r="M734" s="38"/>
      <c r="N734" s="733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f ca="1">IFERROR(__xludf.DUMMYFUNCTION("IMPORTRANGE(""https://docs.google.com/spreadsheets/d/1KxicF4apzSqm0-jIpmueT4kyZtE-Cwn5zskl7GD4loQ/edit?usp=share_link"",""กำแพงเพชร!J735"")+IMPORTRANGE(""https://docs.google.com/spreadsheets/d/1ZNYWeiFoFA1K1U4xKWqRX29MBvEyRHXORjo734Gnq_c/edit?usp=share_li"&amp;"nk"",""เชียงราย!J735"")
+IMPORTRANGE(""https://docs.google.com/spreadsheets/d/1Jgv0Y7YlHDtsiDawwp-uvifEJ8HVaSn0k2aGHG8-hwM/edit?usp=share_link"",""เชียงใหม่!J735"")+IMPORTRANGE(""https://docs.google.com/spreadsheets/d/1JWG2rZePOz9pe-f-ObA-yDr0VoOX2kSb0qIi"&amp;"x2mTUo8/edit?usp=share_link"",""ตาก!J735"")+IMPORTRANGE(""https://docs.google.com/spreadsheets/d/10nSRjK08hx8Y6HgSOQKNw81lyY46Zc7U_Cj72hBMp9U/edit?usp=share_link"",""นครสวรรค์!J735"")+IMPORTRANGE(""https://docs.google.com/spreadsheets/d/1gFVb7qd7amutrIxAA"&amp;"oM7lcy35hllxznovot8lyOfvDo/edit?usp=share_link"",""น่าน!J735"")+IMPORTRANGE(""https://docs.google.com/spreadsheets/d/1K0Aa9s-6EuHE5M0FG1F9aHLXRCOV917xvycTdLdct0w/edit?usp=share_link"",""พะเยา!J735"")+IMPORTRANGE(""https://docs.google.com/spreadsheets/d/1Y"&amp;"9LPKx95PyL5OKy09d-KbKJSuuEZCFdkhYjwC0XQjBA/edit?usp=share_link"",""พิจิตร!J735"")+IMPORTRANGE(""https://docs.google.com/spreadsheets/d/16OMuOwy2eVqZcYWOouQtTpa8X1L23h4660uVHc0C8os/edit?usp=share_link"",""พิษณุโลก!J735"")+IMPORTRANGE(""https://docs.google."&amp;"com/spreadsheets/d/1GfgTldLG6k77HXaMQzaafODklYuucJZQNs_GAPEfZyY/edit?usp=share_link"",""เพชรบูรณ์!J735"")+IMPORTRANGE(""https://docs.google.com/spreadsheets/d/1gvTMYAnm7v1yG1BKWFtr0DnaTsq59oW9dwWvFgq6hs0/edit?usp=share_link"",""แพร่!J735"")+IMPORTRANGE("""&amp;"https://docs.google.com/spreadsheets/d/1Wbcosgy-Xa1xXUArJSOenub6EfZHUSzc_bpJFWwQUf0/edit?usp=share_link"",""แม่ฮ่องสอน!J735"")+IMPORTRANGE(""https://docs.google.com/spreadsheets/d/1p7ERhsr0qZeSn-KSOdeHS9r0heI-lHtkcn2OH7hP0jQ/edit?usp=share_link"",""ลำปาง!"&amp;"J735"")+IMPORTRANGE(""https://docs.google.com/spreadsheets/d/1-uUXvimVhiU2U0bMN-xi2te0tS4X7DI2GLPnMjzl8cA/edit?usp=share_link"",""ลำพูน!J735"")+IMPORTRANGE(""https://docs.google.com/spreadsheets/d/17HrOaa5pBUI1onckFfumXB8xlg35qb2uBAFfF1D-Myo/edit?usp=shar"&amp;"e_link"",""สุโขทัย!J735"")+IMPORTRANGE(""https://docs.google.com/spreadsheets/d/1ubs5cl16eYL9gHbdHTJtmtYb9MGzHBs7CAphn8kNCgM/edit?usp=share_link"",""อุตรดิตถ์!J735"")+IMPORTRANGE(""https://docs.google.com/spreadsheets/d/1kII0BjS6CtVrBvI8IrytgPdxDrlyQDyigz"&amp;"MsohRtDMs/edit?usp=share_link"",""อุทัยธานี!J735"")
"),57.24)</f>
        <v>57.24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565"/>
      <c r="C737" s="565" t="s">
        <v>16</v>
      </c>
      <c r="D737" s="930" t="s">
        <v>17</v>
      </c>
      <c r="E737" s="923"/>
      <c r="F737" s="923"/>
      <c r="G737" s="568"/>
      <c r="H737" s="613" t="s">
        <v>12</v>
      </c>
      <c r="I737" s="44"/>
      <c r="J737" s="44"/>
      <c r="K737" s="45"/>
      <c r="L737" s="614">
        <f t="shared" ref="L737:N737" si="335">L738+L739</f>
        <v>0</v>
      </c>
      <c r="M737" s="614">
        <f t="shared" si="335"/>
        <v>0</v>
      </c>
      <c r="N737" s="614">
        <f t="shared" si="335"/>
        <v>0</v>
      </c>
      <c r="O737" s="614">
        <f t="shared" ref="O737:O742" si="336">IF(L737&gt;0,N737*100/L737,0)</f>
        <v>0</v>
      </c>
      <c r="P737" s="614">
        <f t="shared" ref="P737:P742" si="337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565"/>
      <c r="C738" s="565"/>
      <c r="D738" s="566"/>
      <c r="E738" s="567" t="s">
        <v>184</v>
      </c>
      <c r="F738" s="565"/>
      <c r="G738" s="568"/>
      <c r="H738" s="165" t="s">
        <v>12</v>
      </c>
      <c r="I738" s="44"/>
      <c r="J738" s="44"/>
      <c r="K738" s="45"/>
      <c r="L738" s="45">
        <f t="shared" ref="L738:N738" si="338">L741+L748</f>
        <v>0</v>
      </c>
      <c r="M738" s="45">
        <f t="shared" si="338"/>
        <v>0</v>
      </c>
      <c r="N738" s="45">
        <f t="shared" si="338"/>
        <v>0</v>
      </c>
      <c r="O738" s="45">
        <f t="shared" si="336"/>
        <v>0</v>
      </c>
      <c r="P738" s="45">
        <f t="shared" si="337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0"/>
      <c r="C739" s="565"/>
      <c r="D739" s="566"/>
      <c r="E739" s="567" t="s">
        <v>185</v>
      </c>
      <c r="F739" s="565"/>
      <c r="G739" s="568"/>
      <c r="H739" s="165" t="s">
        <v>12</v>
      </c>
      <c r="I739" s="44"/>
      <c r="J739" s="44"/>
      <c r="K739" s="45"/>
      <c r="L739" s="45">
        <f t="shared" ref="L739:N739" si="339">L742+L749</f>
        <v>0</v>
      </c>
      <c r="M739" s="45">
        <f t="shared" si="339"/>
        <v>0</v>
      </c>
      <c r="N739" s="45">
        <f t="shared" si="339"/>
        <v>0</v>
      </c>
      <c r="O739" s="45">
        <f t="shared" si="336"/>
        <v>0</v>
      </c>
      <c r="P739" s="45">
        <f t="shared" si="337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0"/>
      <c r="C740" s="565"/>
      <c r="D740" s="749" t="s">
        <v>20</v>
      </c>
      <c r="E740" s="565"/>
      <c r="F740" s="565"/>
      <c r="G740" s="568"/>
      <c r="H740" s="613" t="s">
        <v>12</v>
      </c>
      <c r="I740" s="166"/>
      <c r="J740" s="166"/>
      <c r="K740" s="167"/>
      <c r="L740" s="614">
        <f t="shared" ref="L740:N740" si="340">L741+L742</f>
        <v>0</v>
      </c>
      <c r="M740" s="614">
        <f t="shared" si="340"/>
        <v>0</v>
      </c>
      <c r="N740" s="614">
        <f t="shared" si="340"/>
        <v>0</v>
      </c>
      <c r="O740" s="614">
        <f t="shared" si="336"/>
        <v>0</v>
      </c>
      <c r="P740" s="614">
        <f t="shared" si="337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0"/>
      <c r="C741" s="565"/>
      <c r="D741" s="566"/>
      <c r="E741" s="567" t="s">
        <v>184</v>
      </c>
      <c r="F741" s="565"/>
      <c r="G741" s="56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6"/>
        <v>0</v>
      </c>
      <c r="P741" s="45">
        <f t="shared" si="337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0"/>
      <c r="C742" s="565"/>
      <c r="D742" s="566"/>
      <c r="E742" s="567" t="s">
        <v>185</v>
      </c>
      <c r="F742" s="565"/>
      <c r="G742" s="56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6"/>
        <v>0</v>
      </c>
      <c r="P742" s="45">
        <f t="shared" si="337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6"/>
      <c r="B743" s="570"/>
      <c r="C743" s="565"/>
      <c r="D743" s="565"/>
      <c r="E743" s="565"/>
      <c r="F743" s="567" t="s">
        <v>186</v>
      </c>
      <c r="G743" s="56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6"/>
      <c r="B744" s="570"/>
      <c r="C744" s="565"/>
      <c r="D744" s="565"/>
      <c r="E744" s="565"/>
      <c r="F744" s="567" t="s">
        <v>187</v>
      </c>
      <c r="G744" s="56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6"/>
      <c r="B745" s="570"/>
      <c r="C745" s="565"/>
      <c r="D745" s="565"/>
      <c r="E745" s="565"/>
      <c r="F745" s="567" t="s">
        <v>188</v>
      </c>
      <c r="G745" s="56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6"/>
      <c r="B746" s="570"/>
      <c r="C746" s="565"/>
      <c r="D746" s="565"/>
      <c r="E746" s="565"/>
      <c r="F746" s="567" t="s">
        <v>189</v>
      </c>
      <c r="G746" s="56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0"/>
      <c r="C747" s="565"/>
      <c r="D747" s="749" t="s">
        <v>21</v>
      </c>
      <c r="E747" s="565"/>
      <c r="F747" s="565"/>
      <c r="G747" s="568"/>
      <c r="H747" s="750" t="s">
        <v>12</v>
      </c>
      <c r="I747" s="166"/>
      <c r="J747" s="166"/>
      <c r="K747" s="167"/>
      <c r="L747" s="614">
        <f t="shared" ref="L747:N747" si="341">L748+L749</f>
        <v>0</v>
      </c>
      <c r="M747" s="614">
        <f t="shared" si="341"/>
        <v>0</v>
      </c>
      <c r="N747" s="614">
        <f t="shared" si="341"/>
        <v>0</v>
      </c>
      <c r="O747" s="614">
        <f t="shared" ref="O747:O749" si="342">IF(L747&gt;0,N747*100/L747,0)</f>
        <v>0</v>
      </c>
      <c r="P747" s="614">
        <f t="shared" ref="P747:P749" si="343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0"/>
      <c r="C748" s="565"/>
      <c r="D748" s="565"/>
      <c r="E748" s="567" t="s">
        <v>18</v>
      </c>
      <c r="F748" s="565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2"/>
        <v>0</v>
      </c>
      <c r="P748" s="45">
        <f t="shared" si="343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0"/>
      <c r="C749" s="565"/>
      <c r="D749" s="565"/>
      <c r="E749" s="567" t="s">
        <v>19</v>
      </c>
      <c r="F749" s="565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2"/>
        <v>0</v>
      </c>
      <c r="P749" s="45">
        <f t="shared" si="343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0"/>
      <c r="C750" s="565" t="s">
        <v>16</v>
      </c>
      <c r="D750" s="751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6"/>
      <c r="B751" s="570"/>
      <c r="C751" s="565"/>
      <c r="D751" s="565"/>
      <c r="E751" s="567" t="s">
        <v>313</v>
      </c>
      <c r="F751" s="565"/>
      <c r="G751" s="56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6"/>
      <c r="B752" s="570"/>
      <c r="C752" s="565"/>
      <c r="D752" s="565"/>
      <c r="E752" s="565"/>
      <c r="F752" s="565"/>
      <c r="G752" s="568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565"/>
      <c r="C754" s="565" t="s">
        <v>16</v>
      </c>
      <c r="D754" s="930" t="s">
        <v>17</v>
      </c>
      <c r="E754" s="923"/>
      <c r="F754" s="923"/>
      <c r="G754" s="568"/>
      <c r="H754" s="613" t="s">
        <v>12</v>
      </c>
      <c r="I754" s="44"/>
      <c r="J754" s="44"/>
      <c r="K754" s="45"/>
      <c r="L754" s="614">
        <f t="shared" ref="L754:N754" si="344">L755+L756</f>
        <v>0</v>
      </c>
      <c r="M754" s="614">
        <f t="shared" si="344"/>
        <v>0</v>
      </c>
      <c r="N754" s="614">
        <f t="shared" si="344"/>
        <v>0</v>
      </c>
      <c r="O754" s="614">
        <f t="shared" ref="O754:O759" si="345">IF(L754&gt;0,N754*100/L754,0)</f>
        <v>0</v>
      </c>
      <c r="P754" s="614">
        <f t="shared" ref="P754:P759" si="346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565"/>
      <c r="C755" s="565"/>
      <c r="D755" s="566"/>
      <c r="E755" s="567" t="s">
        <v>184</v>
      </c>
      <c r="F755" s="565"/>
      <c r="G755" s="568"/>
      <c r="H755" s="165" t="s">
        <v>12</v>
      </c>
      <c r="I755" s="44"/>
      <c r="J755" s="44"/>
      <c r="K755" s="45"/>
      <c r="L755" s="45">
        <f t="shared" ref="L755:N755" si="347">L758+L765</f>
        <v>0</v>
      </c>
      <c r="M755" s="45">
        <f t="shared" si="347"/>
        <v>0</v>
      </c>
      <c r="N755" s="45">
        <f t="shared" si="347"/>
        <v>0</v>
      </c>
      <c r="O755" s="45">
        <f t="shared" si="345"/>
        <v>0</v>
      </c>
      <c r="P755" s="45">
        <f t="shared" si="346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0"/>
      <c r="C756" s="565"/>
      <c r="D756" s="566"/>
      <c r="E756" s="567" t="s">
        <v>185</v>
      </c>
      <c r="F756" s="565"/>
      <c r="G756" s="568"/>
      <c r="H756" s="165" t="s">
        <v>12</v>
      </c>
      <c r="I756" s="44"/>
      <c r="J756" s="44"/>
      <c r="K756" s="45"/>
      <c r="L756" s="45">
        <f t="shared" ref="L756:N756" si="348">L759+L766</f>
        <v>0</v>
      </c>
      <c r="M756" s="45">
        <f t="shared" si="348"/>
        <v>0</v>
      </c>
      <c r="N756" s="45">
        <f t="shared" si="348"/>
        <v>0</v>
      </c>
      <c r="O756" s="45">
        <f t="shared" si="345"/>
        <v>0</v>
      </c>
      <c r="P756" s="45">
        <f t="shared" si="346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0"/>
      <c r="C757" s="565"/>
      <c r="D757" s="749" t="s">
        <v>20</v>
      </c>
      <c r="E757" s="565"/>
      <c r="F757" s="565"/>
      <c r="G757" s="568"/>
      <c r="H757" s="613" t="s">
        <v>12</v>
      </c>
      <c r="I757" s="166"/>
      <c r="J757" s="166"/>
      <c r="K757" s="167"/>
      <c r="L757" s="614">
        <f t="shared" ref="L757:N757" si="349">L758+L759</f>
        <v>0</v>
      </c>
      <c r="M757" s="614">
        <f t="shared" si="349"/>
        <v>0</v>
      </c>
      <c r="N757" s="614">
        <f t="shared" si="349"/>
        <v>0</v>
      </c>
      <c r="O757" s="614">
        <f t="shared" si="345"/>
        <v>0</v>
      </c>
      <c r="P757" s="614">
        <f t="shared" si="346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0"/>
      <c r="C758" s="565"/>
      <c r="D758" s="566"/>
      <c r="E758" s="567" t="s">
        <v>184</v>
      </c>
      <c r="F758" s="565"/>
      <c r="G758" s="56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5"/>
        <v>0</v>
      </c>
      <c r="P758" s="45">
        <f t="shared" si="346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0"/>
      <c r="C759" s="565"/>
      <c r="D759" s="566"/>
      <c r="E759" s="567" t="s">
        <v>185</v>
      </c>
      <c r="F759" s="565"/>
      <c r="G759" s="56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5"/>
        <v>0</v>
      </c>
      <c r="P759" s="45">
        <f t="shared" si="346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6"/>
      <c r="B760" s="570"/>
      <c r="C760" s="565"/>
      <c r="D760" s="565"/>
      <c r="E760" s="565"/>
      <c r="F760" s="567" t="s">
        <v>186</v>
      </c>
      <c r="G760" s="56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6"/>
      <c r="B761" s="570"/>
      <c r="C761" s="565"/>
      <c r="D761" s="565"/>
      <c r="E761" s="565"/>
      <c r="F761" s="567" t="s">
        <v>187</v>
      </c>
      <c r="G761" s="56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6"/>
      <c r="B762" s="570"/>
      <c r="C762" s="565"/>
      <c r="D762" s="565"/>
      <c r="E762" s="565"/>
      <c r="F762" s="567" t="s">
        <v>188</v>
      </c>
      <c r="G762" s="56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6"/>
      <c r="B763" s="570"/>
      <c r="C763" s="565"/>
      <c r="D763" s="565"/>
      <c r="E763" s="565"/>
      <c r="F763" s="567" t="s">
        <v>189</v>
      </c>
      <c r="G763" s="56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0"/>
      <c r="C764" s="565"/>
      <c r="D764" s="749" t="s">
        <v>21</v>
      </c>
      <c r="E764" s="565"/>
      <c r="F764" s="565"/>
      <c r="G764" s="568"/>
      <c r="H764" s="750" t="s">
        <v>12</v>
      </c>
      <c r="I764" s="166"/>
      <c r="J764" s="166"/>
      <c r="K764" s="167"/>
      <c r="L764" s="614">
        <f t="shared" ref="L764:N764" si="350">L765+L766</f>
        <v>0</v>
      </c>
      <c r="M764" s="614">
        <f t="shared" si="350"/>
        <v>0</v>
      </c>
      <c r="N764" s="614">
        <f t="shared" si="350"/>
        <v>0</v>
      </c>
      <c r="O764" s="614">
        <f t="shared" ref="O764:O766" si="351">IF(L764&gt;0,N764*100/L764,0)</f>
        <v>0</v>
      </c>
      <c r="P764" s="614">
        <f t="shared" ref="P764:P766" si="352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0"/>
      <c r="C765" s="565"/>
      <c r="D765" s="565"/>
      <c r="E765" s="567" t="s">
        <v>18</v>
      </c>
      <c r="F765" s="565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1"/>
        <v>0</v>
      </c>
      <c r="P765" s="45">
        <f t="shared" si="352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0"/>
      <c r="C766" s="565"/>
      <c r="D766" s="565"/>
      <c r="E766" s="567" t="s">
        <v>19</v>
      </c>
      <c r="F766" s="565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1"/>
        <v>0</v>
      </c>
      <c r="P766" s="45">
        <f t="shared" si="352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0"/>
      <c r="C767" s="565" t="s">
        <v>16</v>
      </c>
      <c r="D767" s="751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6"/>
      <c r="B768" s="570"/>
      <c r="C768" s="565"/>
      <c r="D768" s="565"/>
      <c r="E768" s="567" t="s">
        <v>316</v>
      </c>
      <c r="F768" s="565"/>
      <c r="G768" s="56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J1074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565"/>
      <c r="C770" s="565" t="s">
        <v>16</v>
      </c>
      <c r="D770" s="930" t="s">
        <v>17</v>
      </c>
      <c r="E770" s="923"/>
      <c r="F770" s="923"/>
      <c r="G770" s="568"/>
      <c r="H770" s="613" t="s">
        <v>12</v>
      </c>
      <c r="I770" s="44"/>
      <c r="J770" s="44"/>
      <c r="K770" s="45"/>
      <c r="L770" s="614">
        <f t="shared" ref="L770:N770" si="353">L771+L772</f>
        <v>0</v>
      </c>
      <c r="M770" s="614">
        <f t="shared" si="353"/>
        <v>0</v>
      </c>
      <c r="N770" s="614">
        <f t="shared" si="353"/>
        <v>0</v>
      </c>
      <c r="O770" s="614">
        <f t="shared" ref="O770:O775" si="354">IF(L770&gt;0,N770*100/L770,0)</f>
        <v>0</v>
      </c>
      <c r="P770" s="614">
        <f t="shared" ref="P770:P775" si="355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565"/>
      <c r="C771" s="565"/>
      <c r="D771" s="566"/>
      <c r="E771" s="567" t="s">
        <v>184</v>
      </c>
      <c r="F771" s="565"/>
      <c r="G771" s="568"/>
      <c r="H771" s="165" t="s">
        <v>12</v>
      </c>
      <c r="I771" s="44"/>
      <c r="J771" s="44"/>
      <c r="K771" s="45"/>
      <c r="L771" s="45">
        <f t="shared" ref="L771:N771" si="356">L774+L781</f>
        <v>0</v>
      </c>
      <c r="M771" s="45">
        <f t="shared" si="356"/>
        <v>0</v>
      </c>
      <c r="N771" s="45">
        <f t="shared" si="356"/>
        <v>0</v>
      </c>
      <c r="O771" s="45">
        <f t="shared" si="354"/>
        <v>0</v>
      </c>
      <c r="P771" s="45">
        <f t="shared" si="355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0"/>
      <c r="C772" s="565"/>
      <c r="D772" s="566"/>
      <c r="E772" s="567" t="s">
        <v>185</v>
      </c>
      <c r="F772" s="565"/>
      <c r="G772" s="568"/>
      <c r="H772" s="165" t="s">
        <v>12</v>
      </c>
      <c r="I772" s="44"/>
      <c r="J772" s="44"/>
      <c r="K772" s="45"/>
      <c r="L772" s="45">
        <f t="shared" ref="L772:N772" si="357">L775+L782</f>
        <v>0</v>
      </c>
      <c r="M772" s="45">
        <f t="shared" si="357"/>
        <v>0</v>
      </c>
      <c r="N772" s="45">
        <f t="shared" si="357"/>
        <v>0</v>
      </c>
      <c r="O772" s="45">
        <f t="shared" si="354"/>
        <v>0</v>
      </c>
      <c r="P772" s="45">
        <f t="shared" si="355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0"/>
      <c r="C773" s="565"/>
      <c r="D773" s="749" t="s">
        <v>20</v>
      </c>
      <c r="E773" s="565"/>
      <c r="F773" s="565"/>
      <c r="G773" s="568"/>
      <c r="H773" s="613" t="s">
        <v>12</v>
      </c>
      <c r="I773" s="166"/>
      <c r="J773" s="166"/>
      <c r="K773" s="167"/>
      <c r="L773" s="614">
        <f t="shared" ref="L773:N773" si="358">L774+L775</f>
        <v>0</v>
      </c>
      <c r="M773" s="614">
        <f t="shared" si="358"/>
        <v>0</v>
      </c>
      <c r="N773" s="614">
        <f t="shared" si="358"/>
        <v>0</v>
      </c>
      <c r="O773" s="614">
        <f t="shared" si="354"/>
        <v>0</v>
      </c>
      <c r="P773" s="614">
        <f t="shared" si="355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0"/>
      <c r="C774" s="565"/>
      <c r="D774" s="566"/>
      <c r="E774" s="567" t="s">
        <v>184</v>
      </c>
      <c r="F774" s="565"/>
      <c r="G774" s="56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4"/>
        <v>0</v>
      </c>
      <c r="P774" s="45">
        <f t="shared" si="355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0"/>
      <c r="C775" s="565"/>
      <c r="D775" s="566"/>
      <c r="E775" s="567" t="s">
        <v>185</v>
      </c>
      <c r="F775" s="565"/>
      <c r="G775" s="56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4"/>
        <v>0</v>
      </c>
      <c r="P775" s="45">
        <f t="shared" si="355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6"/>
      <c r="B776" s="570"/>
      <c r="C776" s="565"/>
      <c r="D776" s="565"/>
      <c r="E776" s="565"/>
      <c r="F776" s="567" t="s">
        <v>186</v>
      </c>
      <c r="G776" s="56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6"/>
      <c r="B777" s="570"/>
      <c r="C777" s="565"/>
      <c r="D777" s="565"/>
      <c r="E777" s="565"/>
      <c r="F777" s="567" t="s">
        <v>187</v>
      </c>
      <c r="G777" s="56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6"/>
      <c r="B778" s="570"/>
      <c r="C778" s="565"/>
      <c r="D778" s="565"/>
      <c r="E778" s="565"/>
      <c r="F778" s="567" t="s">
        <v>188</v>
      </c>
      <c r="G778" s="56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6"/>
      <c r="B779" s="570"/>
      <c r="C779" s="565"/>
      <c r="D779" s="565"/>
      <c r="E779" s="565"/>
      <c r="F779" s="567" t="s">
        <v>189</v>
      </c>
      <c r="G779" s="56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0"/>
      <c r="C780" s="565"/>
      <c r="D780" s="749" t="s">
        <v>21</v>
      </c>
      <c r="E780" s="565"/>
      <c r="F780" s="565"/>
      <c r="G780" s="568"/>
      <c r="H780" s="750" t="s">
        <v>12</v>
      </c>
      <c r="I780" s="166"/>
      <c r="J780" s="166"/>
      <c r="K780" s="167"/>
      <c r="L780" s="614">
        <f t="shared" ref="L780:N780" si="359">L781+L782</f>
        <v>0</v>
      </c>
      <c r="M780" s="614">
        <f t="shared" si="359"/>
        <v>0</v>
      </c>
      <c r="N780" s="614">
        <f t="shared" si="359"/>
        <v>0</v>
      </c>
      <c r="O780" s="614">
        <f t="shared" ref="O780:O782" si="360">IF(L780&gt;0,N780*100/L780,0)</f>
        <v>0</v>
      </c>
      <c r="P780" s="614">
        <f t="shared" ref="P780:P782" si="361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0"/>
      <c r="C781" s="565"/>
      <c r="D781" s="565"/>
      <c r="E781" s="567" t="s">
        <v>18</v>
      </c>
      <c r="F781" s="565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60"/>
        <v>0</v>
      </c>
      <c r="P781" s="45">
        <f t="shared" si="361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0"/>
      <c r="C782" s="565"/>
      <c r="D782" s="565"/>
      <c r="E782" s="567" t="s">
        <v>19</v>
      </c>
      <c r="F782" s="565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60"/>
        <v>0</v>
      </c>
      <c r="P782" s="45">
        <f t="shared" si="361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0"/>
      <c r="C783" s="565" t="s">
        <v>16</v>
      </c>
      <c r="D783" s="751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6"/>
      <c r="B784" s="570"/>
      <c r="C784" s="565"/>
      <c r="D784" s="565"/>
      <c r="E784" s="567" t="s">
        <v>318</v>
      </c>
      <c r="F784" s="565"/>
      <c r="G784" s="56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773" t="s">
        <v>46</v>
      </c>
      <c r="I785" s="774">
        <f t="shared" ref="I785:J785" ca="1" si="362">I801+I803</f>
        <v>148000</v>
      </c>
      <c r="J785" s="774">
        <f t="shared" ca="1" si="362"/>
        <v>26338</v>
      </c>
      <c r="K785" s="775">
        <f ca="1">IF(I785&gt;0,J785*100/I785,0)</f>
        <v>17.795945945945945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540" t="s">
        <v>16</v>
      </c>
      <c r="D786" s="929" t="s">
        <v>17</v>
      </c>
      <c r="E786" s="923"/>
      <c r="F786" s="923"/>
      <c r="G786" s="189"/>
      <c r="H786" s="563" t="s">
        <v>12</v>
      </c>
      <c r="I786" s="37"/>
      <c r="J786" s="37"/>
      <c r="K786" s="38"/>
      <c r="L786" s="195">
        <f t="shared" ref="L786:N786" ca="1" si="363">L787+L788</f>
        <v>1668000</v>
      </c>
      <c r="M786" s="195">
        <f t="shared" si="363"/>
        <v>0</v>
      </c>
      <c r="N786" s="195">
        <f t="shared" ca="1" si="363"/>
        <v>532462.97</v>
      </c>
      <c r="O786" s="195">
        <f t="shared" ref="O786:O791" ca="1" si="364">IF(L786&gt;0,N786*100/L786,0)</f>
        <v>31.922240407673861</v>
      </c>
      <c r="P786" s="195">
        <f t="shared" ref="P786:P791" si="365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0"/>
      <c r="C787" s="565"/>
      <c r="D787" s="566"/>
      <c r="E787" s="567" t="s">
        <v>184</v>
      </c>
      <c r="F787" s="565"/>
      <c r="G787" s="568"/>
      <c r="H787" s="165" t="s">
        <v>12</v>
      </c>
      <c r="I787" s="44"/>
      <c r="J787" s="44"/>
      <c r="K787" s="45"/>
      <c r="L787" s="45">
        <f t="shared" ref="L787:N787" si="366">L790+L797</f>
        <v>0</v>
      </c>
      <c r="M787" s="45">
        <f t="shared" si="366"/>
        <v>0</v>
      </c>
      <c r="N787" s="45">
        <f t="shared" si="366"/>
        <v>0</v>
      </c>
      <c r="O787" s="45">
        <f t="shared" si="364"/>
        <v>0</v>
      </c>
      <c r="P787" s="45">
        <f t="shared" si="365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0"/>
      <c r="C788" s="570"/>
      <c r="D788" s="580"/>
      <c r="E788" s="567" t="s">
        <v>185</v>
      </c>
      <c r="F788" s="565"/>
      <c r="G788" s="568"/>
      <c r="H788" s="165" t="s">
        <v>12</v>
      </c>
      <c r="I788" s="44"/>
      <c r="J788" s="44"/>
      <c r="K788" s="45"/>
      <c r="L788" s="45">
        <f t="shared" ref="L788:N788" ca="1" si="367">L791+L798</f>
        <v>1668000</v>
      </c>
      <c r="M788" s="45">
        <f t="shared" si="367"/>
        <v>0</v>
      </c>
      <c r="N788" s="45">
        <f t="shared" ca="1" si="367"/>
        <v>532462.97</v>
      </c>
      <c r="O788" s="45">
        <f t="shared" ca="1" si="364"/>
        <v>31.922240407673861</v>
      </c>
      <c r="P788" s="45">
        <f t="shared" si="365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540"/>
      <c r="F789" s="540"/>
      <c r="G789" s="189"/>
      <c r="H789" s="161" t="s">
        <v>12</v>
      </c>
      <c r="I789" s="162"/>
      <c r="J789" s="162"/>
      <c r="K789" s="163"/>
      <c r="L789" s="38">
        <f t="shared" ref="L789:N789" ca="1" si="368">L790+L791</f>
        <v>1668000</v>
      </c>
      <c r="M789" s="38">
        <f t="shared" si="368"/>
        <v>0</v>
      </c>
      <c r="N789" s="38">
        <f t="shared" ca="1" si="368"/>
        <v>532462.97</v>
      </c>
      <c r="O789" s="38">
        <f t="shared" ca="1" si="364"/>
        <v>31.922240407673861</v>
      </c>
      <c r="P789" s="38">
        <f t="shared" si="365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0"/>
      <c r="C790" s="570"/>
      <c r="D790" s="580"/>
      <c r="E790" s="567" t="s">
        <v>184</v>
      </c>
      <c r="F790" s="565"/>
      <c r="G790" s="568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4"/>
        <v>0</v>
      </c>
      <c r="P790" s="45">
        <f t="shared" si="365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0"/>
      <c r="C791" s="570"/>
      <c r="D791" s="580"/>
      <c r="E791" s="567" t="s">
        <v>185</v>
      </c>
      <c r="F791" s="565"/>
      <c r="G791" s="568"/>
      <c r="H791" s="165" t="s">
        <v>12</v>
      </c>
      <c r="I791" s="44"/>
      <c r="J791" s="44"/>
      <c r="K791" s="45"/>
      <c r="L791" s="45">
        <f ca="1">IFERROR(__xludf.DUMMYFUNCTION("IMPORTRANGE(""https://docs.google.com/spreadsheets/d/1KxicF4apzSqm0-jIpmueT4kyZtE-Cwn5zskl7GD4loQ/edit?usp=share_link"",""กำแพงเพชร!l791"")+IMPORTRANGE(""https://docs.google.com/spreadsheets/d/1ZNYWeiFoFA1K1U4xKWqRX29MBvEyRHXORjo734Gnq_c/edit?usp=share_li"&amp;"nk"",""เชียงราย!l791"")
+IMPORTRANGE(""https://docs.google.com/spreadsheets/d/1Jgv0Y7YlHDtsiDawwp-uvifEJ8HVaSn0k2aGHG8-hwM/edit?usp=share_link"",""เชียงใหม่!l791"")+IMPORTRANGE(""https://docs.google.com/spreadsheets/d/1JWG2rZePOz9pe-f-ObA-yDr0VoOX2kSb0qIi"&amp;"x2mTUo8/edit?usp=share_link"",""ตาก!l791"")+IMPORTRANGE(""https://docs.google.com/spreadsheets/d/10nSRjK08hx8Y6HgSOQKNw81lyY46Zc7U_Cj72hBMp9U/edit?usp=share_link"",""นครสวรรค์!l791"")+IMPORTRANGE(""https://docs.google.com/spreadsheets/d/1gFVb7qd7amutrIxAA"&amp;"oM7lcy35hllxznovot8lyOfvDo/edit?usp=share_link"",""น่าน!l791"")+IMPORTRANGE(""https://docs.google.com/spreadsheets/d/1K0Aa9s-6EuHE5M0FG1F9aHLXRCOV917xvycTdLdct0w/edit?usp=share_link"",""พะเยา!l791"")+IMPORTRANGE(""https://docs.google.com/spreadsheets/d/1Y"&amp;"9LPKx95PyL5OKy09d-KbKJSuuEZCFdkhYjwC0XQjBA/edit?usp=share_link"",""พิจิตร!l791"")+IMPORTRANGE(""https://docs.google.com/spreadsheets/d/16OMuOwy2eVqZcYWOouQtTpa8X1L23h4660uVHc0C8os/edit?usp=share_link"",""พิษณุโลก!l791"")+IMPORTRANGE(""https://docs.google."&amp;"com/spreadsheets/d/1GfgTldLG6k77HXaMQzaafODklYuucJZQNs_GAPEfZyY/edit?usp=share_link"",""เพชรบูรณ์!l791"")+IMPORTRANGE(""https://docs.google.com/spreadsheets/d/1gvTMYAnm7v1yG1BKWFtr0DnaTsq59oW9dwWvFgq6hs0/edit?usp=share_link"",""แพร่!l791"")+IMPORTRANGE("""&amp;"https://docs.google.com/spreadsheets/d/1Wbcosgy-Xa1xXUArJSOenub6EfZHUSzc_bpJFWwQUf0/edit?usp=share_link"",""แม่ฮ่องสอน!l791"")+IMPORTRANGE(""https://docs.google.com/spreadsheets/d/1p7ERhsr0qZeSn-KSOdeHS9r0heI-lHtkcn2OH7hP0jQ/edit?usp=share_link"",""ลำปาง!"&amp;"l791"")+IMPORTRANGE(""https://docs.google.com/spreadsheets/d/1-uUXvimVhiU2U0bMN-xi2te0tS4X7DI2GLPnMjzl8cA/edit?usp=share_link"",""ลำพูน!l791"")+IMPORTRANGE(""https://docs.google.com/spreadsheets/d/17HrOaa5pBUI1onckFfumXB8xlg35qb2uBAFfF1D-Myo/edit?usp=shar"&amp;"e_link"",""สุโขทัย!l791"")+IMPORTRANGE(""https://docs.google.com/spreadsheets/d/1ubs5cl16eYL9gHbdHTJtmtYb9MGzHBs7CAphn8kNCgM/edit?usp=share_link"",""อุตรดิตถ์!l791"")+IMPORTRANGE(""https://docs.google.com/spreadsheets/d/1kII0BjS6CtVrBvI8IrytgPdxDrlyQDyigz"&amp;"MsohRtDMs/edit?usp=share_link"",""อุทัยธานี!l791"")
"),1668000)</f>
        <v>1668000</v>
      </c>
      <c r="M791" s="93">
        <v>0</v>
      </c>
      <c r="N791" s="45">
        <f ca="1">N792+N793+N794+N795</f>
        <v>532462.97</v>
      </c>
      <c r="O791" s="45">
        <f t="shared" ca="1" si="364"/>
        <v>31.922240407673861</v>
      </c>
      <c r="P791" s="45">
        <f t="shared" si="365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540"/>
      <c r="D792" s="540"/>
      <c r="E792" s="540"/>
      <c r="F792" s="541" t="s">
        <v>186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xicF4apzSqm0-jIpmueT4kyZtE-Cwn5zskl7GD4loQ/edit?usp=share_link"",""กำแพงเพชร!n792"")+IMPORTRANGE(""https://docs.google.com/spreadsheets/d/1ZNYWeiFoFA1K1U4xKWqRX29MBvEyRHXORjo734Gnq_c/edit?usp=share_li"&amp;"nk"",""เชียงราย!n792"")
+IMPORTRANGE(""https://docs.google.com/spreadsheets/d/1Jgv0Y7YlHDtsiDawwp-uvifEJ8HVaSn0k2aGHG8-hwM/edit?usp=share_link"",""เชียงใหม่!n792"")+IMPORTRANGE(""https://docs.google.com/spreadsheets/d/1JWG2rZePOz9pe-f-ObA-yDr0VoOX2kSb0qIi"&amp;"x2mTUo8/edit?usp=share_link"",""ตาก!n792"")+IMPORTRANGE(""https://docs.google.com/spreadsheets/d/10nSRjK08hx8Y6HgSOQKNw81lyY46Zc7U_Cj72hBMp9U/edit?usp=share_link"",""นครสวรรค์!n792"")+IMPORTRANGE(""https://docs.google.com/spreadsheets/d/1gFVb7qd7amutrIxAA"&amp;"oM7lcy35hllxznovot8lyOfvDo/edit?usp=share_link"",""น่าน!n792"")+IMPORTRANGE(""https://docs.google.com/spreadsheets/d/1K0Aa9s-6EuHE5M0FG1F9aHLXRCOV917xvycTdLdct0w/edit?usp=share_link"",""พะเยา!n792"")+IMPORTRANGE(""https://docs.google.com/spreadsheets/d/1Y"&amp;"9LPKx95PyL5OKy09d-KbKJSuuEZCFdkhYjwC0XQjBA/edit?usp=share_link"",""พิจิตร!n792"")+IMPORTRANGE(""https://docs.google.com/spreadsheets/d/16OMuOwy2eVqZcYWOouQtTpa8X1L23h4660uVHc0C8os/edit?usp=share_link"",""พิษณุโลก!n792"")+IMPORTRANGE(""https://docs.google."&amp;"com/spreadsheets/d/1GfgTldLG6k77HXaMQzaafODklYuucJZQNs_GAPEfZyY/edit?usp=share_link"",""เพชรบูรณ์!n792"")+IMPORTRANGE(""https://docs.google.com/spreadsheets/d/1gvTMYAnm7v1yG1BKWFtr0DnaTsq59oW9dwWvFgq6hs0/edit?usp=share_link"",""แพร่!n792"")+IMPORTRANGE("""&amp;"https://docs.google.com/spreadsheets/d/1Wbcosgy-Xa1xXUArJSOenub6EfZHUSzc_bpJFWwQUf0/edit?usp=share_link"",""แม่ฮ่องสอน!n792"")+IMPORTRANGE(""https://docs.google.com/spreadsheets/d/1p7ERhsr0qZeSn-KSOdeHS9r0heI-lHtkcn2OH7hP0jQ/edit?usp=share_link"",""ลำปาง!"&amp;"n792"")+IMPORTRANGE(""https://docs.google.com/spreadsheets/d/1-uUXvimVhiU2U0bMN-xi2te0tS4X7DI2GLPnMjzl8cA/edit?usp=share_link"",""ลำพูน!n792"")+IMPORTRANGE(""https://docs.google.com/spreadsheets/d/17HrOaa5pBUI1onckFfumXB8xlg35qb2uBAFfF1D-Myo/edit?usp=shar"&amp;"e_link"",""สุโขทัย!n792"")+IMPORTRANGE(""https://docs.google.com/spreadsheets/d/1ubs5cl16eYL9gHbdHTJtmtYb9MGzHBs7CAphn8kNCgM/edit?usp=share_link"",""อุตรดิตถ์!n792"")+IMPORTRANGE(""https://docs.google.com/spreadsheets/d/1kII0BjS6CtVrBvI8IrytgPdxDrlyQDyigz"&amp;"MsohRtDMs/edit?usp=share_link"",""อุทัยธานี!n792"")
"),0)</f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540"/>
      <c r="D793" s="540"/>
      <c r="E793" s="540"/>
      <c r="F793" s="541" t="s">
        <v>187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xicF4apzSqm0-jIpmueT4kyZtE-Cwn5zskl7GD4loQ/edit?usp=share_link"",""กำแพงเพชร!n793"")+IMPORTRANGE(""https://docs.google.com/spreadsheets/d/1ZNYWeiFoFA1K1U4xKWqRX29MBvEyRHXORjo734Gnq_c/edit?usp=share_li"&amp;"nk"",""เชียงราย!n793"")
+IMPORTRANGE(""https://docs.google.com/spreadsheets/d/1Jgv0Y7YlHDtsiDawwp-uvifEJ8HVaSn0k2aGHG8-hwM/edit?usp=share_link"",""เชียงใหม่!n793"")+IMPORTRANGE(""https://docs.google.com/spreadsheets/d/1JWG2rZePOz9pe-f-ObA-yDr0VoOX2kSb0qIi"&amp;"x2mTUo8/edit?usp=share_link"",""ตาก!n793"")+IMPORTRANGE(""https://docs.google.com/spreadsheets/d/10nSRjK08hx8Y6HgSOQKNw81lyY46Zc7U_Cj72hBMp9U/edit?usp=share_link"",""นครสวรรค์!n793"")+IMPORTRANGE(""https://docs.google.com/spreadsheets/d/1gFVb7qd7amutrIxAA"&amp;"oM7lcy35hllxznovot8lyOfvDo/edit?usp=share_link"",""น่าน!n793"")+IMPORTRANGE(""https://docs.google.com/spreadsheets/d/1K0Aa9s-6EuHE5M0FG1F9aHLXRCOV917xvycTdLdct0w/edit?usp=share_link"",""พะเยา!n793"")+IMPORTRANGE(""https://docs.google.com/spreadsheets/d/1Y"&amp;"9LPKx95PyL5OKy09d-KbKJSuuEZCFdkhYjwC0XQjBA/edit?usp=share_link"",""พิจิตร!n793"")+IMPORTRANGE(""https://docs.google.com/spreadsheets/d/16OMuOwy2eVqZcYWOouQtTpa8X1L23h4660uVHc0C8os/edit?usp=share_link"",""พิษณุโลก!n793"")+IMPORTRANGE(""https://docs.google."&amp;"com/spreadsheets/d/1GfgTldLG6k77HXaMQzaafODklYuucJZQNs_GAPEfZyY/edit?usp=share_link"",""เพชรบูรณ์!n793"")+IMPORTRANGE(""https://docs.google.com/spreadsheets/d/1gvTMYAnm7v1yG1BKWFtr0DnaTsq59oW9dwWvFgq6hs0/edit?usp=share_link"",""แพร่!n793"")+IMPORTRANGE("""&amp;"https://docs.google.com/spreadsheets/d/1Wbcosgy-Xa1xXUArJSOenub6EfZHUSzc_bpJFWwQUf0/edit?usp=share_link"",""แม่ฮ่องสอน!n793"")+IMPORTRANGE(""https://docs.google.com/spreadsheets/d/1p7ERhsr0qZeSn-KSOdeHS9r0heI-lHtkcn2OH7hP0jQ/edit?usp=share_link"",""ลำปาง!"&amp;"n793"")+IMPORTRANGE(""https://docs.google.com/spreadsheets/d/1-uUXvimVhiU2U0bMN-xi2te0tS4X7DI2GLPnMjzl8cA/edit?usp=share_link"",""ลำพูน!n793"")+IMPORTRANGE(""https://docs.google.com/spreadsheets/d/17HrOaa5pBUI1onckFfumXB8xlg35qb2uBAFfF1D-Myo/edit?usp=shar"&amp;"e_link"",""สุโขทัย!n793"")+IMPORTRANGE(""https://docs.google.com/spreadsheets/d/1ubs5cl16eYL9gHbdHTJtmtYb9MGzHBs7CAphn8kNCgM/edit?usp=share_link"",""อุตรดิตถ์!n793"")+IMPORTRANGE(""https://docs.google.com/spreadsheets/d/1kII0BjS6CtVrBvI8IrytgPdxDrlyQDyigz"&amp;"MsohRtDMs/edit?usp=share_link"",""อุทัยธานี!n793"")
"),31840)</f>
        <v>31840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540"/>
      <c r="D794" s="540"/>
      <c r="E794" s="540"/>
      <c r="F794" s="541" t="s">
        <v>188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xicF4apzSqm0-jIpmueT4kyZtE-Cwn5zskl7GD4loQ/edit?usp=share_link"",""กำแพงเพชร!n794"")+IMPORTRANGE(""https://docs.google.com/spreadsheets/d/1ZNYWeiFoFA1K1U4xKWqRX29MBvEyRHXORjo734Gnq_c/edit?usp=share_li"&amp;"nk"",""เชียงราย!n794"")
+IMPORTRANGE(""https://docs.google.com/spreadsheets/d/1Jgv0Y7YlHDtsiDawwp-uvifEJ8HVaSn0k2aGHG8-hwM/edit?usp=share_link"",""เชียงใหม่!n794"")+IMPORTRANGE(""https://docs.google.com/spreadsheets/d/1JWG2rZePOz9pe-f-ObA-yDr0VoOX2kSb0qIi"&amp;"x2mTUo8/edit?usp=share_link"",""ตาก!n794"")+IMPORTRANGE(""https://docs.google.com/spreadsheets/d/10nSRjK08hx8Y6HgSOQKNw81lyY46Zc7U_Cj72hBMp9U/edit?usp=share_link"",""นครสวรรค์!n794"")+IMPORTRANGE(""https://docs.google.com/spreadsheets/d/1gFVb7qd7amutrIxAA"&amp;"oM7lcy35hllxznovot8lyOfvDo/edit?usp=share_link"",""น่าน!n794"")+IMPORTRANGE(""https://docs.google.com/spreadsheets/d/1K0Aa9s-6EuHE5M0FG1F9aHLXRCOV917xvycTdLdct0w/edit?usp=share_link"",""พะเยา!n794"")+IMPORTRANGE(""https://docs.google.com/spreadsheets/d/1Y"&amp;"9LPKx95PyL5OKy09d-KbKJSuuEZCFdkhYjwC0XQjBA/edit?usp=share_link"",""พิจิตร!n794"")+IMPORTRANGE(""https://docs.google.com/spreadsheets/d/16OMuOwy2eVqZcYWOouQtTpa8X1L23h4660uVHc0C8os/edit?usp=share_link"",""พิษณุโลก!n794"")+IMPORTRANGE(""https://docs.google."&amp;"com/spreadsheets/d/1GfgTldLG6k77HXaMQzaafODklYuucJZQNs_GAPEfZyY/edit?usp=share_link"",""เพชรบูรณ์!n794"")+IMPORTRANGE(""https://docs.google.com/spreadsheets/d/1gvTMYAnm7v1yG1BKWFtr0DnaTsq59oW9dwWvFgq6hs0/edit?usp=share_link"",""แพร่!n794"")+IMPORTRANGE("""&amp;"https://docs.google.com/spreadsheets/d/1Wbcosgy-Xa1xXUArJSOenub6EfZHUSzc_bpJFWwQUf0/edit?usp=share_link"",""แม่ฮ่องสอน!n794"")+IMPORTRANGE(""https://docs.google.com/spreadsheets/d/1p7ERhsr0qZeSn-KSOdeHS9r0heI-lHtkcn2OH7hP0jQ/edit?usp=share_link"",""ลำปาง!"&amp;"n794"")+IMPORTRANGE(""https://docs.google.com/spreadsheets/d/1-uUXvimVhiU2U0bMN-xi2te0tS4X7DI2GLPnMjzl8cA/edit?usp=share_link"",""ลำพูน!n794"")+IMPORTRANGE(""https://docs.google.com/spreadsheets/d/17HrOaa5pBUI1onckFfumXB8xlg35qb2uBAFfF1D-Myo/edit?usp=shar"&amp;"e_link"",""สุโขทัย!n794"")+IMPORTRANGE(""https://docs.google.com/spreadsheets/d/1ubs5cl16eYL9gHbdHTJtmtYb9MGzHBs7CAphn8kNCgM/edit?usp=share_link"",""อุตรดิตถ์!n794"")+IMPORTRANGE(""https://docs.google.com/spreadsheets/d/1kII0BjS6CtVrBvI8IrytgPdxDrlyQDyigz"&amp;"MsohRtDMs/edit?usp=share_link"",""อุทัยธานี!n794"")
"),202248.37)</f>
        <v>202248.37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540"/>
      <c r="D795" s="540"/>
      <c r="E795" s="540"/>
      <c r="F795" s="541" t="s">
        <v>189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xicF4apzSqm0-jIpmueT4kyZtE-Cwn5zskl7GD4loQ/edit?usp=share_link"",""กำแพงเพชร!n795"")+IMPORTRANGE(""https://docs.google.com/spreadsheets/d/1ZNYWeiFoFA1K1U4xKWqRX29MBvEyRHXORjo734Gnq_c/edit?usp=share_li"&amp;"nk"",""เชียงราย!n795"")
+IMPORTRANGE(""https://docs.google.com/spreadsheets/d/1Jgv0Y7YlHDtsiDawwp-uvifEJ8HVaSn0k2aGHG8-hwM/edit?usp=share_link"",""เชียงใหม่!n795"")+IMPORTRANGE(""https://docs.google.com/spreadsheets/d/1JWG2rZePOz9pe-f-ObA-yDr0VoOX2kSb0qIi"&amp;"x2mTUo8/edit?usp=share_link"",""ตาก!n795"")+IMPORTRANGE(""https://docs.google.com/spreadsheets/d/10nSRjK08hx8Y6HgSOQKNw81lyY46Zc7U_Cj72hBMp9U/edit?usp=share_link"",""นครสวรรค์!n795"")+IMPORTRANGE(""https://docs.google.com/spreadsheets/d/1gFVb7qd7amutrIxAA"&amp;"oM7lcy35hllxznovot8lyOfvDo/edit?usp=share_link"",""น่าน!n795"")+IMPORTRANGE(""https://docs.google.com/spreadsheets/d/1K0Aa9s-6EuHE5M0FG1F9aHLXRCOV917xvycTdLdct0w/edit?usp=share_link"",""พะเยา!n795"")+IMPORTRANGE(""https://docs.google.com/spreadsheets/d/1Y"&amp;"9LPKx95PyL5OKy09d-KbKJSuuEZCFdkhYjwC0XQjBA/edit?usp=share_link"",""พิจิตร!n795"")+IMPORTRANGE(""https://docs.google.com/spreadsheets/d/16OMuOwy2eVqZcYWOouQtTpa8X1L23h4660uVHc0C8os/edit?usp=share_link"",""พิษณุโลก!n795"")+IMPORTRANGE(""https://docs.google."&amp;"com/spreadsheets/d/1GfgTldLG6k77HXaMQzaafODklYuucJZQNs_GAPEfZyY/edit?usp=share_link"",""เพชรบูรณ์!n795"")+IMPORTRANGE(""https://docs.google.com/spreadsheets/d/1gvTMYAnm7v1yG1BKWFtr0DnaTsq59oW9dwWvFgq6hs0/edit?usp=share_link"",""แพร่!n795"")+IMPORTRANGE("""&amp;"https://docs.google.com/spreadsheets/d/1Wbcosgy-Xa1xXUArJSOenub6EfZHUSzc_bpJFWwQUf0/edit?usp=share_link"",""แม่ฮ่องสอน!n795"")+IMPORTRANGE(""https://docs.google.com/spreadsheets/d/1p7ERhsr0qZeSn-KSOdeHS9r0heI-lHtkcn2OH7hP0jQ/edit?usp=share_link"",""ลำปาง!"&amp;"n795"")+IMPORTRANGE(""https://docs.google.com/spreadsheets/d/1-uUXvimVhiU2U0bMN-xi2te0tS4X7DI2GLPnMjzl8cA/edit?usp=share_link"",""ลำพูน!n795"")+IMPORTRANGE(""https://docs.google.com/spreadsheets/d/17HrOaa5pBUI1onckFfumXB8xlg35qb2uBAFfF1D-Myo/edit?usp=shar"&amp;"e_link"",""สุโขทัย!n795"")+IMPORTRANGE(""https://docs.google.com/spreadsheets/d/1ubs5cl16eYL9gHbdHTJtmtYb9MGzHBs7CAphn8kNCgM/edit?usp=share_link"",""อุตรดิตถ์!n795"")+IMPORTRANGE(""https://docs.google.com/spreadsheets/d/1kII0BjS6CtVrBvI8IrytgPdxDrlyQDyigz"&amp;"MsohRtDMs/edit?usp=share_link"",""อุทัยธานี!n795"")
"),298374.6)</f>
        <v>298374.59999999998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540"/>
      <c r="D796" s="571" t="s">
        <v>21</v>
      </c>
      <c r="E796" s="540"/>
      <c r="F796" s="540"/>
      <c r="G796" s="189"/>
      <c r="H796" s="168" t="s">
        <v>12</v>
      </c>
      <c r="I796" s="162"/>
      <c r="J796" s="162"/>
      <c r="K796" s="163"/>
      <c r="L796" s="38">
        <f t="shared" ref="L796:N796" si="369">L797+L798</f>
        <v>0</v>
      </c>
      <c r="M796" s="38">
        <f t="shared" si="369"/>
        <v>0</v>
      </c>
      <c r="N796" s="38">
        <f t="shared" si="369"/>
        <v>0</v>
      </c>
      <c r="O796" s="38">
        <f t="shared" ref="O796:O798" si="370">IF(L796&gt;0,N796*100/L796,0)</f>
        <v>0</v>
      </c>
      <c r="P796" s="38">
        <f t="shared" ref="P796:P798" si="371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0"/>
      <c r="C797" s="565"/>
      <c r="D797" s="565"/>
      <c r="E797" s="567" t="s">
        <v>18</v>
      </c>
      <c r="F797" s="565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70"/>
        <v>0</v>
      </c>
      <c r="P797" s="45">
        <f t="shared" si="371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0"/>
      <c r="C798" s="565"/>
      <c r="D798" s="565"/>
      <c r="E798" s="567" t="s">
        <v>19</v>
      </c>
      <c r="F798" s="565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70"/>
        <v>0</v>
      </c>
      <c r="P798" s="45">
        <f t="shared" si="371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74"/>
      <c r="C799" s="540" t="s">
        <v>16</v>
      </c>
      <c r="D799" s="727" t="s">
        <v>38</v>
      </c>
      <c r="E799" s="577"/>
      <c r="F799" s="577"/>
      <c r="G799" s="578"/>
      <c r="H799" s="777"/>
      <c r="I799" s="162"/>
      <c r="J799" s="162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74"/>
      <c r="C800" s="574"/>
      <c r="D800" s="574"/>
      <c r="E800" s="586"/>
      <c r="F800" s="187" t="s">
        <v>320</v>
      </c>
      <c r="G800" s="175"/>
      <c r="H800" s="778" t="s">
        <v>34</v>
      </c>
      <c r="I800" s="162"/>
      <c r="J800" s="184">
        <f ca="1">IFERROR(__xludf.DUMMYFUNCTION("IMPORTRANGE(""https://docs.google.com/spreadsheets/d/1KxicF4apzSqm0-jIpmueT4kyZtE-Cwn5zskl7GD4loQ/edit?usp=share_link"",""กำแพงเพชร!J800"")+IMPORTRANGE(""https://docs.google.com/spreadsheets/d/1ZNYWeiFoFA1K1U4xKWqRX29MBvEyRHXORjo734Gnq_c/edit?usp=share_li"&amp;"nk"",""เชียงราย!J800"")
+IMPORTRANGE(""https://docs.google.com/spreadsheets/d/1Jgv0Y7YlHDtsiDawwp-uvifEJ8HVaSn0k2aGHG8-hwM/edit?usp=share_link"",""เชียงใหม่!J800"")+IMPORTRANGE(""https://docs.google.com/spreadsheets/d/1JWG2rZePOz9pe-f-ObA-yDr0VoOX2kSb0qIi"&amp;"x2mTUo8/edit?usp=share_link"",""ตาก!J800"")+IMPORTRANGE(""https://docs.google.com/spreadsheets/d/10nSRjK08hx8Y6HgSOQKNw81lyY46Zc7U_Cj72hBMp9U/edit?usp=share_link"",""นครสวรรค์!J800"")+IMPORTRANGE(""https://docs.google.com/spreadsheets/d/1gFVb7qd7amutrIxAA"&amp;"oM7lcy35hllxznovot8lyOfvDo/edit?usp=share_link"",""น่าน!J800"")+IMPORTRANGE(""https://docs.google.com/spreadsheets/d/1K0Aa9s-6EuHE5M0FG1F9aHLXRCOV917xvycTdLdct0w/edit?usp=share_link"",""พะเยา!J800"")+IMPORTRANGE(""https://docs.google.com/spreadsheets/d/1Y"&amp;"9LPKx95PyL5OKy09d-KbKJSuuEZCFdkhYjwC0XQjBA/edit?usp=share_link"",""พิจิตร!J800"")+IMPORTRANGE(""https://docs.google.com/spreadsheets/d/16OMuOwy2eVqZcYWOouQtTpa8X1L23h4660uVHc0C8os/edit?usp=share_link"",""พิษณุโลก!J800"")+IMPORTRANGE(""https://docs.google."&amp;"com/spreadsheets/d/1GfgTldLG6k77HXaMQzaafODklYuucJZQNs_GAPEfZyY/edit?usp=share_link"",""เพชรบูรณ์!J800"")+IMPORTRANGE(""https://docs.google.com/spreadsheets/d/1gvTMYAnm7v1yG1BKWFtr0DnaTsq59oW9dwWvFgq6hs0/edit?usp=share_link"",""แพร่!J800"")+IMPORTRANGE("""&amp;"https://docs.google.com/spreadsheets/d/1Wbcosgy-Xa1xXUArJSOenub6EfZHUSzc_bpJFWwQUf0/edit?usp=share_link"",""แม่ฮ่องสอน!J800"")+IMPORTRANGE(""https://docs.google.com/spreadsheets/d/1p7ERhsr0qZeSn-KSOdeHS9r0heI-lHtkcn2OH7hP0jQ/edit?usp=share_link"",""ลำปาง!"&amp;"J800"")+IMPORTRANGE(""https://docs.google.com/spreadsheets/d/1-uUXvimVhiU2U0bMN-xi2te0tS4X7DI2GLPnMjzl8cA/edit?usp=share_link"",""ลำพูน!J800"")+IMPORTRANGE(""https://docs.google.com/spreadsheets/d/17HrOaa5pBUI1onckFfumXB8xlg35qb2uBAFfF1D-Myo/edit?usp=shar"&amp;"e_link"",""สุโขทัย!J800"")+IMPORTRANGE(""https://docs.google.com/spreadsheets/d/1ubs5cl16eYL9gHbdHTJtmtYb9MGzHBs7CAphn8kNCgM/edit?usp=share_link"",""อุตรดิตถ์!J800"")+IMPORTRANGE(""https://docs.google.com/spreadsheets/d/1kII0BjS6CtVrBvI8IrytgPdxDrlyQDyigz"&amp;"MsohRtDMs/edit?usp=share_link"",""อุทัยธานี!J800"")
"),270)</f>
        <v>270</v>
      </c>
      <c r="K800" s="38"/>
      <c r="L800" s="38"/>
      <c r="M800" s="38"/>
      <c r="N800" s="38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74"/>
      <c r="C801" s="574"/>
      <c r="D801" s="574"/>
      <c r="E801" s="586"/>
      <c r="F801" s="586"/>
      <c r="G801" s="175"/>
      <c r="H801" s="779" t="s">
        <v>46</v>
      </c>
      <c r="I801" s="162">
        <f ca="1">IFERROR(__xludf.DUMMYFUNCTION("IMPORTRANGE(""https://docs.google.com/spreadsheets/d/1KxicF4apzSqm0-jIpmueT4kyZtE-Cwn5zskl7GD4loQ/edit?usp=share_link"",""กำแพงเพชร!I801"")+IMPORTRANGE(""https://docs.google.com/spreadsheets/d/1ZNYWeiFoFA1K1U4xKWqRX29MBvEyRHXORjo734Gnq_c/edit?usp=share_li"&amp;"nk"",""เชียงราย!I801"")
+IMPORTRANGE(""https://docs.google.com/spreadsheets/d/1Jgv0Y7YlHDtsiDawwp-uvifEJ8HVaSn0k2aGHG8-hwM/edit?usp=share_link"",""เชียงใหม่!I801"")+IMPORTRANGE(""https://docs.google.com/spreadsheets/d/1JWG2rZePOz9pe-f-ObA-yDr0VoOX2kSb0qIi"&amp;"x2mTUo8/edit?usp=share_link"",""ตาก!I801"")+IMPORTRANGE(""https://docs.google.com/spreadsheets/d/10nSRjK08hx8Y6HgSOQKNw81lyY46Zc7U_Cj72hBMp9U/edit?usp=share_link"",""นครสวรรค์!I801"")+IMPORTRANGE(""https://docs.google.com/spreadsheets/d/1gFVb7qd7amutrIxAA"&amp;"oM7lcy35hllxznovot8lyOfvDo/edit?usp=share_link"",""น่าน!I801"")+IMPORTRANGE(""https://docs.google.com/spreadsheets/d/1K0Aa9s-6EuHE5M0FG1F9aHLXRCOV917xvycTdLdct0w/edit?usp=share_link"",""พะเยา!I801"")+IMPORTRANGE(""https://docs.google.com/spreadsheets/d/1Y"&amp;"9LPKx95PyL5OKy09d-KbKJSuuEZCFdkhYjwC0XQjBA/edit?usp=share_link"",""พิจิตร!I801"")+IMPORTRANGE(""https://docs.google.com/spreadsheets/d/16OMuOwy2eVqZcYWOouQtTpa8X1L23h4660uVHc0C8os/edit?usp=share_link"",""พิษณุโลก!I801"")+IMPORTRANGE(""https://docs.google."&amp;"com/spreadsheets/d/1GfgTldLG6k77HXaMQzaafODklYuucJZQNs_GAPEfZyY/edit?usp=share_link"",""เพชรบูรณ์!I801"")+IMPORTRANGE(""https://docs.google.com/spreadsheets/d/1gvTMYAnm7v1yG1BKWFtr0DnaTsq59oW9dwWvFgq6hs0/edit?usp=share_link"",""แพร่!I801"")+IMPORTRANGE("""&amp;"https://docs.google.com/spreadsheets/d/1Wbcosgy-Xa1xXUArJSOenub6EfZHUSzc_bpJFWwQUf0/edit?usp=share_link"",""แม่ฮ่องสอน!I801"")+IMPORTRANGE(""https://docs.google.com/spreadsheets/d/1p7ERhsr0qZeSn-KSOdeHS9r0heI-lHtkcn2OH7hP0jQ/edit?usp=share_link"",""ลำปาง!"&amp;"I801"")+IMPORTRANGE(""https://docs.google.com/spreadsheets/d/1-uUXvimVhiU2U0bMN-xi2te0tS4X7DI2GLPnMjzl8cA/edit?usp=share_link"",""ลำพูน!I801"")+IMPORTRANGE(""https://docs.google.com/spreadsheets/d/17HrOaa5pBUI1onckFfumXB8xlg35qb2uBAFfF1D-Myo/edit?usp=shar"&amp;"e_link"",""สุโขทัย!I801"")+IMPORTRANGE(""https://docs.google.com/spreadsheets/d/1ubs5cl16eYL9gHbdHTJtmtYb9MGzHBs7CAphn8kNCgM/edit?usp=share_link"",""อุตรดิตถ์!I801"")+IMPORTRANGE(""https://docs.google.com/spreadsheets/d/1kII0BjS6CtVrBvI8IrytgPdxDrlyQDyigz"&amp;"MsohRtDMs/edit?usp=share_link"",""อุทัยธานี!I801"")
"),25000)</f>
        <v>25000</v>
      </c>
      <c r="J801" s="37">
        <f ca="1">IFERROR(__xludf.DUMMYFUNCTION("IMPORTRANGE(""https://docs.google.com/spreadsheets/d/1KxicF4apzSqm0-jIpmueT4kyZtE-Cwn5zskl7GD4loQ/edit?usp=share_link"",""กำแพงเพชร!J801"")+IMPORTRANGE(""https://docs.google.com/spreadsheets/d/1ZNYWeiFoFA1K1U4xKWqRX29MBvEyRHXORjo734Gnq_c/edit?usp=share_li"&amp;"nk"",""เชียงราย!J801"")
+IMPORTRANGE(""https://docs.google.com/spreadsheets/d/1Jgv0Y7YlHDtsiDawwp-uvifEJ8HVaSn0k2aGHG8-hwM/edit?usp=share_link"",""เชียงใหม่!J801"")+IMPORTRANGE(""https://docs.google.com/spreadsheets/d/1JWG2rZePOz9pe-f-ObA-yDr0VoOX2kSb0qIi"&amp;"x2mTUo8/edit?usp=share_link"",""ตาก!J801"")+IMPORTRANGE(""https://docs.google.com/spreadsheets/d/10nSRjK08hx8Y6HgSOQKNw81lyY46Zc7U_Cj72hBMp9U/edit?usp=share_link"",""นครสวรรค์!J801"")+IMPORTRANGE(""https://docs.google.com/spreadsheets/d/1gFVb7qd7amutrIxAA"&amp;"oM7lcy35hllxznovot8lyOfvDo/edit?usp=share_link"",""น่าน!J801"")+IMPORTRANGE(""https://docs.google.com/spreadsheets/d/1K0Aa9s-6EuHE5M0FG1F9aHLXRCOV917xvycTdLdct0w/edit?usp=share_link"",""พะเยา!J801"")+IMPORTRANGE(""https://docs.google.com/spreadsheets/d/1Y"&amp;"9LPKx95PyL5OKy09d-KbKJSuuEZCFdkhYjwC0XQjBA/edit?usp=share_link"",""พิจิตร!J801"")+IMPORTRANGE(""https://docs.google.com/spreadsheets/d/16OMuOwy2eVqZcYWOouQtTpa8X1L23h4660uVHc0C8os/edit?usp=share_link"",""พิษณุโลก!J801"")+IMPORTRANGE(""https://docs.google."&amp;"com/spreadsheets/d/1GfgTldLG6k77HXaMQzaafODklYuucJZQNs_GAPEfZyY/edit?usp=share_link"",""เพชรบูรณ์!J801"")+IMPORTRANGE(""https://docs.google.com/spreadsheets/d/1gvTMYAnm7v1yG1BKWFtr0DnaTsq59oW9dwWvFgq6hs0/edit?usp=share_link"",""แพร่!J801"")+IMPORTRANGE("""&amp;"https://docs.google.com/spreadsheets/d/1Wbcosgy-Xa1xXUArJSOenub6EfZHUSzc_bpJFWwQUf0/edit?usp=share_link"",""แม่ฮ่องสอน!J801"")+IMPORTRANGE(""https://docs.google.com/spreadsheets/d/1p7ERhsr0qZeSn-KSOdeHS9r0heI-lHtkcn2OH7hP0jQ/edit?usp=share_link"",""ลำปาง!"&amp;"J801"")+IMPORTRANGE(""https://docs.google.com/spreadsheets/d/1-uUXvimVhiU2U0bMN-xi2te0tS4X7DI2GLPnMjzl8cA/edit?usp=share_link"",""ลำพูน!J801"")+IMPORTRANGE(""https://docs.google.com/spreadsheets/d/17HrOaa5pBUI1onckFfumXB8xlg35qb2uBAFfF1D-Myo/edit?usp=shar"&amp;"e_link"",""สุโขทัย!J801"")+IMPORTRANGE(""https://docs.google.com/spreadsheets/d/1ubs5cl16eYL9gHbdHTJtmtYb9MGzHBs7CAphn8kNCgM/edit?usp=share_link"",""อุตรดิตถ์!J801"")+IMPORTRANGE(""https://docs.google.com/spreadsheets/d/1kII0BjS6CtVrBvI8IrytgPdxDrlyQDyigz"&amp;"MsohRtDMs/edit?usp=share_link"",""อุทัยธานี!J801"")
"),3779)</f>
        <v>3779</v>
      </c>
      <c r="K801" s="38">
        <f ca="1">IF(I801&gt;0,J801*100/I801,0)</f>
        <v>15.116</v>
      </c>
      <c r="L801" s="38"/>
      <c r="M801" s="38"/>
      <c r="N801" s="38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780"/>
      <c r="B802" s="781"/>
      <c r="C802" s="781"/>
      <c r="D802" s="781"/>
      <c r="E802" s="782"/>
      <c r="F802" s="783" t="s">
        <v>321</v>
      </c>
      <c r="G802" s="333"/>
      <c r="H802" s="784" t="s">
        <v>34</v>
      </c>
      <c r="I802" s="320"/>
      <c r="J802" s="326">
        <f ca="1">IFERROR(__xludf.DUMMYFUNCTION("IMPORTRANGE(""https://docs.google.com/spreadsheets/d/1KxicF4apzSqm0-jIpmueT4kyZtE-Cwn5zskl7GD4loQ/edit?usp=share_link"",""กำแพงเพชร!J802"")+IMPORTRANGE(""https://docs.google.com/spreadsheets/d/1ZNYWeiFoFA1K1U4xKWqRX29MBvEyRHXORjo734Gnq_c/edit?usp=share_li"&amp;"nk"",""เชียงราย!J802"")
+IMPORTRANGE(""https://docs.google.com/spreadsheets/d/1Jgv0Y7YlHDtsiDawwp-uvifEJ8HVaSn0k2aGHG8-hwM/edit?usp=share_link"",""เชียงใหม่!J802"")+IMPORTRANGE(""https://docs.google.com/spreadsheets/d/1JWG2rZePOz9pe-f-ObA-yDr0VoOX2kSb0qIi"&amp;"x2mTUo8/edit?usp=share_link"",""ตาก!J802"")+IMPORTRANGE(""https://docs.google.com/spreadsheets/d/10nSRjK08hx8Y6HgSOQKNw81lyY46Zc7U_Cj72hBMp9U/edit?usp=share_link"",""นครสวรรค์!J802"")+IMPORTRANGE(""https://docs.google.com/spreadsheets/d/1gFVb7qd7amutrIxAA"&amp;"oM7lcy35hllxznovot8lyOfvDo/edit?usp=share_link"",""น่าน!J802"")+IMPORTRANGE(""https://docs.google.com/spreadsheets/d/1K0Aa9s-6EuHE5M0FG1F9aHLXRCOV917xvycTdLdct0w/edit?usp=share_link"",""พะเยา!J802"")+IMPORTRANGE(""https://docs.google.com/spreadsheets/d/1Y"&amp;"9LPKx95PyL5OKy09d-KbKJSuuEZCFdkhYjwC0XQjBA/edit?usp=share_link"",""พิจิตร!J802"")+IMPORTRANGE(""https://docs.google.com/spreadsheets/d/16OMuOwy2eVqZcYWOouQtTpa8X1L23h4660uVHc0C8os/edit?usp=share_link"",""พิษณุโลก!J802"")+IMPORTRANGE(""https://docs.google."&amp;"com/spreadsheets/d/1GfgTldLG6k77HXaMQzaafODklYuucJZQNs_GAPEfZyY/edit?usp=share_link"",""เพชรบูรณ์!J802"")+IMPORTRANGE(""https://docs.google.com/spreadsheets/d/1gvTMYAnm7v1yG1BKWFtr0DnaTsq59oW9dwWvFgq6hs0/edit?usp=share_link"",""แพร่!J802"")+IMPORTRANGE("""&amp;"https://docs.google.com/spreadsheets/d/1Wbcosgy-Xa1xXUArJSOenub6EfZHUSzc_bpJFWwQUf0/edit?usp=share_link"",""แม่ฮ่องสอน!J802"")+IMPORTRANGE(""https://docs.google.com/spreadsheets/d/1p7ERhsr0qZeSn-KSOdeHS9r0heI-lHtkcn2OH7hP0jQ/edit?usp=share_link"",""ลำปาง!"&amp;"J802"")+IMPORTRANGE(""https://docs.google.com/spreadsheets/d/1-uUXvimVhiU2U0bMN-xi2te0tS4X7DI2GLPnMjzl8cA/edit?usp=share_link"",""ลำพูน!J802"")+IMPORTRANGE(""https://docs.google.com/spreadsheets/d/17HrOaa5pBUI1onckFfumXB8xlg35qb2uBAFfF1D-Myo/edit?usp=shar"&amp;"e_link"",""สุโขทัย!J802"")+IMPORTRANGE(""https://docs.google.com/spreadsheets/d/1ubs5cl16eYL9gHbdHTJtmtYb9MGzHBs7CAphn8kNCgM/edit?usp=share_link"",""อุตรดิตถ์!J802"")+IMPORTRANGE(""https://docs.google.com/spreadsheets/d/1kII0BjS6CtVrBvI8IrytgPdxDrlyQDyigz"&amp;"MsohRtDMs/edit?usp=share_link"",""อุทัยธานี!J802"")
"),1501)</f>
        <v>1501</v>
      </c>
      <c r="K802" s="321"/>
      <c r="L802" s="321"/>
      <c r="M802" s="321"/>
      <c r="N802" s="321"/>
      <c r="O802" s="321"/>
      <c r="P802" s="321"/>
      <c r="Q802" s="785"/>
      <c r="R802" s="785"/>
      <c r="S802" s="785"/>
      <c r="T802" s="785"/>
      <c r="U802" s="785"/>
      <c r="V802" s="785"/>
      <c r="W802" s="785"/>
      <c r="X802" s="785"/>
      <c r="Y802" s="785"/>
      <c r="Z802" s="785"/>
    </row>
    <row r="803" spans="1:26" ht="18.75">
      <c r="A803" s="780"/>
      <c r="B803" s="781"/>
      <c r="C803" s="781"/>
      <c r="D803" s="781"/>
      <c r="E803" s="782"/>
      <c r="F803" s="782"/>
      <c r="G803" s="333"/>
      <c r="H803" s="784" t="s">
        <v>46</v>
      </c>
      <c r="I803" s="320">
        <f ca="1">IFERROR(__xludf.DUMMYFUNCTION("IMPORTRANGE(""https://docs.google.com/spreadsheets/d/1KxicF4apzSqm0-jIpmueT4kyZtE-Cwn5zskl7GD4loQ/edit?usp=share_link"",""กำแพงเพชร!I803"")+IMPORTRANGE(""https://docs.google.com/spreadsheets/d/1ZNYWeiFoFA1K1U4xKWqRX29MBvEyRHXORjo734Gnq_c/edit?usp=share_li"&amp;"nk"",""เชียงราย!I803"")
+IMPORTRANGE(""https://docs.google.com/spreadsheets/d/1Jgv0Y7YlHDtsiDawwp-uvifEJ8HVaSn0k2aGHG8-hwM/edit?usp=share_link"",""เชียงใหม่!I803"")+IMPORTRANGE(""https://docs.google.com/spreadsheets/d/1JWG2rZePOz9pe-f-ObA-yDr0VoOX2kSb0qIi"&amp;"x2mTUo8/edit?usp=share_link"",""ตาก!I803"")+IMPORTRANGE(""https://docs.google.com/spreadsheets/d/10nSRjK08hx8Y6HgSOQKNw81lyY46Zc7U_Cj72hBMp9U/edit?usp=share_link"",""นครสวรรค์!I803"")+IMPORTRANGE(""https://docs.google.com/spreadsheets/d/1gFVb7qd7amutrIxAA"&amp;"oM7lcy35hllxznovot8lyOfvDo/edit?usp=share_link"",""น่าน!I803"")+IMPORTRANGE(""https://docs.google.com/spreadsheets/d/1K0Aa9s-6EuHE5M0FG1F9aHLXRCOV917xvycTdLdct0w/edit?usp=share_link"",""พะเยา!I803"")+IMPORTRANGE(""https://docs.google.com/spreadsheets/d/1Y"&amp;"9LPKx95PyL5OKy09d-KbKJSuuEZCFdkhYjwC0XQjBA/edit?usp=share_link"",""พิจิตร!I803"")+IMPORTRANGE(""https://docs.google.com/spreadsheets/d/16OMuOwy2eVqZcYWOouQtTpa8X1L23h4660uVHc0C8os/edit?usp=share_link"",""พิษณุโลก!I803"")+IMPORTRANGE(""https://docs.google."&amp;"com/spreadsheets/d/1GfgTldLG6k77HXaMQzaafODklYuucJZQNs_GAPEfZyY/edit?usp=share_link"",""เพชรบูรณ์!I803"")+IMPORTRANGE(""https://docs.google.com/spreadsheets/d/1gvTMYAnm7v1yG1BKWFtr0DnaTsq59oW9dwWvFgq6hs0/edit?usp=share_link"",""แพร่!I803"")+IMPORTRANGE("""&amp;"https://docs.google.com/spreadsheets/d/1Wbcosgy-Xa1xXUArJSOenub6EfZHUSzc_bpJFWwQUf0/edit?usp=share_link"",""แม่ฮ่องสอน!I803"")+IMPORTRANGE(""https://docs.google.com/spreadsheets/d/1p7ERhsr0qZeSn-KSOdeHS9r0heI-lHtkcn2OH7hP0jQ/edit?usp=share_link"",""ลำปาง!"&amp;"I803"")+IMPORTRANGE(""https://docs.google.com/spreadsheets/d/1-uUXvimVhiU2U0bMN-xi2te0tS4X7DI2GLPnMjzl8cA/edit?usp=share_link"",""ลำพูน!I803"")+IMPORTRANGE(""https://docs.google.com/spreadsheets/d/17HrOaa5pBUI1onckFfumXB8xlg35qb2uBAFfF1D-Myo/edit?usp=shar"&amp;"e_link"",""สุโขทัย!I803"")+IMPORTRANGE(""https://docs.google.com/spreadsheets/d/1ubs5cl16eYL9gHbdHTJtmtYb9MGzHBs7CAphn8kNCgM/edit?usp=share_link"",""อุตรดิตถ์!I803"")+IMPORTRANGE(""https://docs.google.com/spreadsheets/d/1kII0BjS6CtVrBvI8IrytgPdxDrlyQDyigz"&amp;"MsohRtDMs/edit?usp=share_link"",""อุทัยธานี!I803"")
"),123000)</f>
        <v>123000</v>
      </c>
      <c r="J803" s="326">
        <f ca="1">IFERROR(__xludf.DUMMYFUNCTION("IMPORTRANGE(""https://docs.google.com/spreadsheets/d/1KxicF4apzSqm0-jIpmueT4kyZtE-Cwn5zskl7GD4loQ/edit?usp=share_link"",""กำแพงเพชร!J803"")+IMPORTRANGE(""https://docs.google.com/spreadsheets/d/1ZNYWeiFoFA1K1U4xKWqRX29MBvEyRHXORjo734Gnq_c/edit?usp=share_li"&amp;"nk"",""เชียงราย!J803"")
+IMPORTRANGE(""https://docs.google.com/spreadsheets/d/1Jgv0Y7YlHDtsiDawwp-uvifEJ8HVaSn0k2aGHG8-hwM/edit?usp=share_link"",""เชียงใหม่!J803"")+IMPORTRANGE(""https://docs.google.com/spreadsheets/d/1JWG2rZePOz9pe-f-ObA-yDr0VoOX2kSb0qIi"&amp;"x2mTUo8/edit?usp=share_link"",""ตาก!J803"")+IMPORTRANGE(""https://docs.google.com/spreadsheets/d/10nSRjK08hx8Y6HgSOQKNw81lyY46Zc7U_Cj72hBMp9U/edit?usp=share_link"",""นครสวรรค์!J803"")+IMPORTRANGE(""https://docs.google.com/spreadsheets/d/1gFVb7qd7amutrIxAA"&amp;"oM7lcy35hllxznovot8lyOfvDo/edit?usp=share_link"",""น่าน!J803"")+IMPORTRANGE(""https://docs.google.com/spreadsheets/d/1K0Aa9s-6EuHE5M0FG1F9aHLXRCOV917xvycTdLdct0w/edit?usp=share_link"",""พะเยา!J803"")+IMPORTRANGE(""https://docs.google.com/spreadsheets/d/1Y"&amp;"9LPKx95PyL5OKy09d-KbKJSuuEZCFdkhYjwC0XQjBA/edit?usp=share_link"",""พิจิตร!J803"")+IMPORTRANGE(""https://docs.google.com/spreadsheets/d/16OMuOwy2eVqZcYWOouQtTpa8X1L23h4660uVHc0C8os/edit?usp=share_link"",""พิษณุโลก!J803"")+IMPORTRANGE(""https://docs.google."&amp;"com/spreadsheets/d/1GfgTldLG6k77HXaMQzaafODklYuucJZQNs_GAPEfZyY/edit?usp=share_link"",""เพชรบูรณ์!J803"")+IMPORTRANGE(""https://docs.google.com/spreadsheets/d/1gvTMYAnm7v1yG1BKWFtr0DnaTsq59oW9dwWvFgq6hs0/edit?usp=share_link"",""แพร่!J803"")+IMPORTRANGE("""&amp;"https://docs.google.com/spreadsheets/d/1Wbcosgy-Xa1xXUArJSOenub6EfZHUSzc_bpJFWwQUf0/edit?usp=share_link"",""แม่ฮ่องสอน!J803"")+IMPORTRANGE(""https://docs.google.com/spreadsheets/d/1p7ERhsr0qZeSn-KSOdeHS9r0heI-lHtkcn2OH7hP0jQ/edit?usp=share_link"",""ลำปาง!"&amp;"J803"")+IMPORTRANGE(""https://docs.google.com/spreadsheets/d/1-uUXvimVhiU2U0bMN-xi2te0tS4X7DI2GLPnMjzl8cA/edit?usp=share_link"",""ลำพูน!J803"")+IMPORTRANGE(""https://docs.google.com/spreadsheets/d/17HrOaa5pBUI1onckFfumXB8xlg35qb2uBAFfF1D-Myo/edit?usp=shar"&amp;"e_link"",""สุโขทัย!J803"")+IMPORTRANGE(""https://docs.google.com/spreadsheets/d/1ubs5cl16eYL9gHbdHTJtmtYb9MGzHBs7CAphn8kNCgM/edit?usp=share_link"",""อุตรดิตถ์!J803"")+IMPORTRANGE(""https://docs.google.com/spreadsheets/d/1kII0BjS6CtVrBvI8IrytgPdxDrlyQDyigz"&amp;"MsohRtDMs/edit?usp=share_link"",""อุทัยธานี!J803"")
"),22559)</f>
        <v>22559</v>
      </c>
      <c r="K803" s="321">
        <f t="shared" ref="K803:K804" ca="1" si="372">IF(I803&gt;0,J803*100/I803,0)</f>
        <v>18.340650406504064</v>
      </c>
      <c r="L803" s="321"/>
      <c r="M803" s="321"/>
      <c r="N803" s="321"/>
      <c r="O803" s="321"/>
      <c r="P803" s="321"/>
      <c r="Q803" s="785"/>
      <c r="R803" s="785"/>
      <c r="S803" s="785"/>
      <c r="T803" s="785"/>
      <c r="U803" s="785"/>
      <c r="V803" s="785"/>
      <c r="W803" s="785"/>
      <c r="X803" s="785"/>
      <c r="Y803" s="785"/>
      <c r="Z803" s="785"/>
    </row>
    <row r="804" spans="1:26" ht="19.5" hidden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 t="shared" si="372"/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565"/>
      <c r="C805" s="565" t="s">
        <v>16</v>
      </c>
      <c r="D805" s="930" t="s">
        <v>17</v>
      </c>
      <c r="E805" s="923"/>
      <c r="F805" s="923"/>
      <c r="G805" s="568"/>
      <c r="H805" s="613" t="s">
        <v>12</v>
      </c>
      <c r="I805" s="44"/>
      <c r="J805" s="44"/>
      <c r="K805" s="45"/>
      <c r="L805" s="614">
        <f t="shared" ref="L805:N805" si="373">L806+L807</f>
        <v>0</v>
      </c>
      <c r="M805" s="614">
        <f t="shared" si="373"/>
        <v>0</v>
      </c>
      <c r="N805" s="614">
        <f t="shared" si="373"/>
        <v>0</v>
      </c>
      <c r="O805" s="614">
        <f t="shared" ref="O805:O810" si="374">IF(L805&gt;0,N805*100/L805,0)</f>
        <v>0</v>
      </c>
      <c r="P805" s="614">
        <f t="shared" ref="P805:P810" si="375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565"/>
      <c r="C806" s="565"/>
      <c r="D806" s="580"/>
      <c r="E806" s="567" t="s">
        <v>184</v>
      </c>
      <c r="F806" s="565"/>
      <c r="G806" s="568"/>
      <c r="H806" s="165" t="s">
        <v>12</v>
      </c>
      <c r="I806" s="44"/>
      <c r="J806" s="44"/>
      <c r="K806" s="45"/>
      <c r="L806" s="45">
        <f t="shared" ref="L806:N806" si="376">L809+L816</f>
        <v>0</v>
      </c>
      <c r="M806" s="45">
        <f t="shared" si="376"/>
        <v>0</v>
      </c>
      <c r="N806" s="45">
        <f t="shared" si="376"/>
        <v>0</v>
      </c>
      <c r="O806" s="45">
        <f t="shared" si="374"/>
        <v>0</v>
      </c>
      <c r="P806" s="45">
        <f t="shared" si="375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565"/>
      <c r="C807" s="565"/>
      <c r="D807" s="580"/>
      <c r="E807" s="567" t="s">
        <v>185</v>
      </c>
      <c r="F807" s="565"/>
      <c r="G807" s="568"/>
      <c r="H807" s="165" t="s">
        <v>12</v>
      </c>
      <c r="I807" s="44"/>
      <c r="J807" s="44"/>
      <c r="K807" s="45"/>
      <c r="L807" s="45">
        <f t="shared" ref="L807:N807" si="377">L810+L817</f>
        <v>0</v>
      </c>
      <c r="M807" s="45">
        <f t="shared" si="377"/>
        <v>0</v>
      </c>
      <c r="N807" s="45">
        <f t="shared" si="377"/>
        <v>0</v>
      </c>
      <c r="O807" s="45">
        <f t="shared" si="374"/>
        <v>0</v>
      </c>
      <c r="P807" s="45">
        <f t="shared" si="375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0"/>
      <c r="C808" s="565"/>
      <c r="D808" s="932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78">L809+L810</f>
        <v>0</v>
      </c>
      <c r="M808" s="614">
        <f t="shared" si="378"/>
        <v>0</v>
      </c>
      <c r="N808" s="614">
        <f t="shared" si="378"/>
        <v>0</v>
      </c>
      <c r="O808" s="614">
        <f t="shared" si="374"/>
        <v>0</v>
      </c>
      <c r="P808" s="614">
        <f t="shared" si="375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565"/>
      <c r="C809" s="565"/>
      <c r="D809" s="580"/>
      <c r="E809" s="567" t="s">
        <v>184</v>
      </c>
      <c r="F809" s="565"/>
      <c r="G809" s="56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4"/>
        <v>0</v>
      </c>
      <c r="P809" s="45">
        <f t="shared" si="375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565"/>
      <c r="C810" s="565"/>
      <c r="D810" s="580"/>
      <c r="E810" s="567" t="s">
        <v>185</v>
      </c>
      <c r="F810" s="565"/>
      <c r="G810" s="56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4"/>
        <v>0</v>
      </c>
      <c r="P810" s="45">
        <f t="shared" si="375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6"/>
      <c r="B811" s="570"/>
      <c r="C811" s="565"/>
      <c r="D811" s="570"/>
      <c r="E811" s="565"/>
      <c r="F811" s="567" t="s">
        <v>186</v>
      </c>
      <c r="G811" s="56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6"/>
      <c r="B812" s="570"/>
      <c r="C812" s="565"/>
      <c r="D812" s="570"/>
      <c r="E812" s="565"/>
      <c r="F812" s="567" t="s">
        <v>187</v>
      </c>
      <c r="G812" s="56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6"/>
      <c r="B813" s="570"/>
      <c r="C813" s="565"/>
      <c r="D813" s="570"/>
      <c r="E813" s="565"/>
      <c r="F813" s="567" t="s">
        <v>188</v>
      </c>
      <c r="G813" s="56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6"/>
      <c r="B814" s="570"/>
      <c r="C814" s="565"/>
      <c r="D814" s="570"/>
      <c r="E814" s="565"/>
      <c r="F814" s="567" t="s">
        <v>189</v>
      </c>
      <c r="G814" s="56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0"/>
      <c r="C815" s="565"/>
      <c r="D815" s="932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79">L816+L817</f>
        <v>0</v>
      </c>
      <c r="M815" s="614">
        <f t="shared" si="379"/>
        <v>0</v>
      </c>
      <c r="N815" s="614">
        <f t="shared" si="379"/>
        <v>0</v>
      </c>
      <c r="O815" s="614">
        <f t="shared" ref="O815:O817" si="380">IF(L815&gt;0,N815*100/L815,0)</f>
        <v>0</v>
      </c>
      <c r="P815" s="614">
        <f t="shared" ref="P815:P817" si="381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0"/>
      <c r="C816" s="565"/>
      <c r="D816" s="570"/>
      <c r="E816" s="567" t="s">
        <v>18</v>
      </c>
      <c r="F816" s="565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80"/>
        <v>0</v>
      </c>
      <c r="P816" s="45">
        <f t="shared" si="381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0"/>
      <c r="C817" s="565"/>
      <c r="D817" s="570"/>
      <c r="E817" s="567" t="s">
        <v>19</v>
      </c>
      <c r="F817" s="565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80"/>
        <v>0</v>
      </c>
      <c r="P817" s="45">
        <f t="shared" si="381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0"/>
      <c r="C818" s="565" t="s">
        <v>16</v>
      </c>
      <c r="D818" s="787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8.75" hidden="1">
      <c r="A819" s="788"/>
      <c r="B819" s="789"/>
      <c r="C819" s="790"/>
      <c r="D819" s="789"/>
      <c r="E819" s="791" t="s">
        <v>323</v>
      </c>
      <c r="F819" s="790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796" t="s">
        <v>324</v>
      </c>
      <c r="B820" s="797"/>
      <c r="C820" s="797"/>
      <c r="D820" s="798"/>
      <c r="E820" s="797"/>
      <c r="F820" s="797"/>
      <c r="G820" s="799"/>
      <c r="H820" s="800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215"/>
      <c r="J820" s="215"/>
      <c r="K820" s="801"/>
      <c r="L820" s="801"/>
      <c r="M820" s="801"/>
      <c r="N820" s="801"/>
      <c r="O820" s="801"/>
      <c r="P820" s="80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541" t="s">
        <v>325</v>
      </c>
      <c r="C821" s="540"/>
      <c r="D821" s="539"/>
      <c r="E821" s="540"/>
      <c r="F821" s="540"/>
      <c r="G821" s="189"/>
      <c r="H821" s="36" t="s">
        <v>12</v>
      </c>
      <c r="I821" s="37">
        <f ca="1">IFERROR(__xludf.DUMMYFUNCTION("IMPORTRANGE(""https://docs.google.com/spreadsheets/d/1KxicF4apzSqm0-jIpmueT4kyZtE-Cwn5zskl7GD4loQ/edit?usp=share_link"",""กำแพงเพชร!I821"")+IMPORTRANGE(""https://docs.google.com/spreadsheets/d/1ZNYWeiFoFA1K1U4xKWqRX29MBvEyRHXORjo734Gnq_c/edit?usp=share_li"&amp;"nk"",""เชียงราย!I821"")
+IMPORTRANGE(""https://docs.google.com/spreadsheets/d/1Jgv0Y7YlHDtsiDawwp-uvifEJ8HVaSn0k2aGHG8-hwM/edit?usp=share_link"",""เชียงใหม่!I821"")+IMPORTRANGE(""https://docs.google.com/spreadsheets/d/1JWG2rZePOz9pe-f-ObA-yDr0VoOX2kSb0qIi"&amp;"x2mTUo8/edit?usp=share_link"",""ตาก!I821"")+IMPORTRANGE(""https://docs.google.com/spreadsheets/d/10nSRjK08hx8Y6HgSOQKNw81lyY46Zc7U_Cj72hBMp9U/edit?usp=share_link"",""นครสวรรค์!I821"")+IMPORTRANGE(""https://docs.google.com/spreadsheets/d/1gFVb7qd7amutrIxAA"&amp;"oM7lcy35hllxznovot8lyOfvDo/edit?usp=share_link"",""น่าน!I821"")+IMPORTRANGE(""https://docs.google.com/spreadsheets/d/1K0Aa9s-6EuHE5M0FG1F9aHLXRCOV917xvycTdLdct0w/edit?usp=share_link"",""พะเยา!I821"")+IMPORTRANGE(""https://docs.google.com/spreadsheets/d/1Y"&amp;"9LPKx95PyL5OKy09d-KbKJSuuEZCFdkhYjwC0XQjBA/edit?usp=share_link"",""พิจิตร!I821"")+IMPORTRANGE(""https://docs.google.com/spreadsheets/d/16OMuOwy2eVqZcYWOouQtTpa8X1L23h4660uVHc0C8os/edit?usp=share_link"",""พิษณุโลก!I821"")+IMPORTRANGE(""https://docs.google."&amp;"com/spreadsheets/d/1GfgTldLG6k77HXaMQzaafODklYuucJZQNs_GAPEfZyY/edit?usp=share_link"",""เพชรบูรณ์!I821"")+IMPORTRANGE(""https://docs.google.com/spreadsheets/d/1gvTMYAnm7v1yG1BKWFtr0DnaTsq59oW9dwWvFgq6hs0/edit?usp=share_link"",""แพร่!I821"")+IMPORTRANGE("""&amp;"https://docs.google.com/spreadsheets/d/1Wbcosgy-Xa1xXUArJSOenub6EfZHUSzc_bpJFWwQUf0/edit?usp=share_link"",""แม่ฮ่องสอน!I821"")+IMPORTRANGE(""https://docs.google.com/spreadsheets/d/1p7ERhsr0qZeSn-KSOdeHS9r0heI-lHtkcn2OH7hP0jQ/edit?usp=share_link"",""ลำปาง!"&amp;"I821"")+IMPORTRANGE(""https://docs.google.com/spreadsheets/d/1-uUXvimVhiU2U0bMN-xi2te0tS4X7DI2GLPnMjzl8cA/edit?usp=share_link"",""ลำพูน!I821"")+IMPORTRANGE(""https://docs.google.com/spreadsheets/d/17HrOaa5pBUI1onckFfumXB8xlg35qb2uBAFfF1D-Myo/edit?usp=shar"&amp;"e_link"",""สุโขทัย!I821"")+IMPORTRANGE(""https://docs.google.com/spreadsheets/d/1ubs5cl16eYL9gHbdHTJtmtYb9MGzHBs7CAphn8kNCgM/edit?usp=share_link"",""อุตรดิตถ์!I821"")+IMPORTRANGE(""https://docs.google.com/spreadsheets/d/1kII0BjS6CtVrBvI8IrytgPdxDrlyQDyigz"&amp;"MsohRtDMs/edit?usp=share_link"",""อุทัยธานี!I821"")
"),93692422.04)</f>
        <v>93692422.040000007</v>
      </c>
      <c r="J821" s="37">
        <f ca="1">IFERROR(__xludf.DUMMYFUNCTION("IMPORTRANGE(""https://docs.google.com/spreadsheets/d/1KxicF4apzSqm0-jIpmueT4kyZtE-Cwn5zskl7GD4loQ/edit?usp=share_link"",""กำแพงเพชร!J821"")+IMPORTRANGE(""https://docs.google.com/spreadsheets/d/1ZNYWeiFoFA1K1U4xKWqRX29MBvEyRHXORjo734Gnq_c/edit?usp=share_li"&amp;"nk"",""เชียงราย!J821"")
+IMPORTRANGE(""https://docs.google.com/spreadsheets/d/1Jgv0Y7YlHDtsiDawwp-uvifEJ8HVaSn0k2aGHG8-hwM/edit?usp=share_link"",""เชียงใหม่!J821"")+IMPORTRANGE(""https://docs.google.com/spreadsheets/d/1JWG2rZePOz9pe-f-ObA-yDr0VoOX2kSb0qIi"&amp;"x2mTUo8/edit?usp=share_link"",""ตาก!J821"")+IMPORTRANGE(""https://docs.google.com/spreadsheets/d/10nSRjK08hx8Y6HgSOQKNw81lyY46Zc7U_Cj72hBMp9U/edit?usp=share_link"",""นครสวรรค์!J821"")+IMPORTRANGE(""https://docs.google.com/spreadsheets/d/1gFVb7qd7amutrIxAA"&amp;"oM7lcy35hllxznovot8lyOfvDo/edit?usp=share_link"",""น่าน!J821"")+IMPORTRANGE(""https://docs.google.com/spreadsheets/d/1K0Aa9s-6EuHE5M0FG1F9aHLXRCOV917xvycTdLdct0w/edit?usp=share_link"",""พะเยา!J821"")+IMPORTRANGE(""https://docs.google.com/spreadsheets/d/1Y"&amp;"9LPKx95PyL5OKy09d-KbKJSuuEZCFdkhYjwC0XQjBA/edit?usp=share_link"",""พิจิตร!J821"")+IMPORTRANGE(""https://docs.google.com/spreadsheets/d/16OMuOwy2eVqZcYWOouQtTpa8X1L23h4660uVHc0C8os/edit?usp=share_link"",""พิษณุโลก!J821"")+IMPORTRANGE(""https://docs.google."&amp;"com/spreadsheets/d/1GfgTldLG6k77HXaMQzaafODklYuucJZQNs_GAPEfZyY/edit?usp=share_link"",""เพชรบูรณ์!J821"")+IMPORTRANGE(""https://docs.google.com/spreadsheets/d/1gvTMYAnm7v1yG1BKWFtr0DnaTsq59oW9dwWvFgq6hs0/edit?usp=share_link"",""แพร่!J821"")+IMPORTRANGE("""&amp;"https://docs.google.com/spreadsheets/d/1Wbcosgy-Xa1xXUArJSOenub6EfZHUSzc_bpJFWwQUf0/edit?usp=share_link"",""แม่ฮ่องสอน!J821"")+IMPORTRANGE(""https://docs.google.com/spreadsheets/d/1p7ERhsr0qZeSn-KSOdeHS9r0heI-lHtkcn2OH7hP0jQ/edit?usp=share_link"",""ลำปาง!"&amp;"J821"")+IMPORTRANGE(""https://docs.google.com/spreadsheets/d/1-uUXvimVhiU2U0bMN-xi2te0tS4X7DI2GLPnMjzl8cA/edit?usp=share_link"",""ลำพูน!J821"")+IMPORTRANGE(""https://docs.google.com/spreadsheets/d/17HrOaa5pBUI1onckFfumXB8xlg35qb2uBAFfF1D-Myo/edit?usp=shar"&amp;"e_link"",""สุโขทัย!J821"")+IMPORTRANGE(""https://docs.google.com/spreadsheets/d/1ubs5cl16eYL9gHbdHTJtmtYb9MGzHBs7CAphn8kNCgM/edit?usp=share_link"",""อุตรดิตถ์!J821"")+IMPORTRANGE(""https://docs.google.com/spreadsheets/d/1kII0BjS6CtVrBvI8IrytgPdxDrlyQDyigz"&amp;"MsohRtDMs/edit?usp=share_link"",""อุทัยธานี!J821"")
"),25879417.42)</f>
        <v>25879417.420000002</v>
      </c>
      <c r="K821" s="38">
        <f t="shared" ref="K821:K828" ca="1" si="382">IF(I821&gt;0,J821*100/I821,0)</f>
        <v>27.621676178839017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540"/>
      <c r="C822" s="540"/>
      <c r="D822" s="539"/>
      <c r="E822" s="540"/>
      <c r="F822" s="540"/>
      <c r="G822" s="189"/>
      <c r="H822" s="36" t="s">
        <v>35</v>
      </c>
      <c r="I822" s="37">
        <f ca="1">IFERROR(__xludf.DUMMYFUNCTION("IMPORTRANGE(""https://docs.google.com/spreadsheets/d/1KxicF4apzSqm0-jIpmueT4kyZtE-Cwn5zskl7GD4loQ/edit?usp=share_link"",""กำแพงเพชร!I822"")+IMPORTRANGE(""https://docs.google.com/spreadsheets/d/1ZNYWeiFoFA1K1U4xKWqRX29MBvEyRHXORjo734Gnq_c/edit?usp=share_li"&amp;"nk"",""เชียงราย!I822"")
+IMPORTRANGE(""https://docs.google.com/spreadsheets/d/1Jgv0Y7YlHDtsiDawwp-uvifEJ8HVaSn0k2aGHG8-hwM/edit?usp=share_link"",""เชียงใหม่!I822"")+IMPORTRANGE(""https://docs.google.com/spreadsheets/d/1JWG2rZePOz9pe-f-ObA-yDr0VoOX2kSb0qIi"&amp;"x2mTUo8/edit?usp=share_link"",""ตาก!I822"")+IMPORTRANGE(""https://docs.google.com/spreadsheets/d/10nSRjK08hx8Y6HgSOQKNw81lyY46Zc7U_Cj72hBMp9U/edit?usp=share_link"",""นครสวรรค์!I822"")+IMPORTRANGE(""https://docs.google.com/spreadsheets/d/1gFVb7qd7amutrIxAA"&amp;"oM7lcy35hllxznovot8lyOfvDo/edit?usp=share_link"",""น่าน!I822"")+IMPORTRANGE(""https://docs.google.com/spreadsheets/d/1K0Aa9s-6EuHE5M0FG1F9aHLXRCOV917xvycTdLdct0w/edit?usp=share_link"",""พะเยา!I822"")+IMPORTRANGE(""https://docs.google.com/spreadsheets/d/1Y"&amp;"9LPKx95PyL5OKy09d-KbKJSuuEZCFdkhYjwC0XQjBA/edit?usp=share_link"",""พิจิตร!I822"")+IMPORTRANGE(""https://docs.google.com/spreadsheets/d/16OMuOwy2eVqZcYWOouQtTpa8X1L23h4660uVHc0C8os/edit?usp=share_link"",""พิษณุโลก!I822"")+IMPORTRANGE(""https://docs.google."&amp;"com/spreadsheets/d/1GfgTldLG6k77HXaMQzaafODklYuucJZQNs_GAPEfZyY/edit?usp=share_link"",""เพชรบูรณ์!I822"")+IMPORTRANGE(""https://docs.google.com/spreadsheets/d/1gvTMYAnm7v1yG1BKWFtr0DnaTsq59oW9dwWvFgq6hs0/edit?usp=share_link"",""แพร่!I822"")+IMPORTRANGE("""&amp;"https://docs.google.com/spreadsheets/d/1Wbcosgy-Xa1xXUArJSOenub6EfZHUSzc_bpJFWwQUf0/edit?usp=share_link"",""แม่ฮ่องสอน!I822"")+IMPORTRANGE(""https://docs.google.com/spreadsheets/d/1p7ERhsr0qZeSn-KSOdeHS9r0heI-lHtkcn2OH7hP0jQ/edit?usp=share_link"",""ลำปาง!"&amp;"I822"")+IMPORTRANGE(""https://docs.google.com/spreadsheets/d/1-uUXvimVhiU2U0bMN-xi2te0tS4X7DI2GLPnMjzl8cA/edit?usp=share_link"",""ลำพูน!I822"")+IMPORTRANGE(""https://docs.google.com/spreadsheets/d/17HrOaa5pBUI1onckFfumXB8xlg35qb2uBAFfF1D-Myo/edit?usp=shar"&amp;"e_link"",""สุโขทัย!I822"")+IMPORTRANGE(""https://docs.google.com/spreadsheets/d/1ubs5cl16eYL9gHbdHTJtmtYb9MGzHBs7CAphn8kNCgM/edit?usp=share_link"",""อุตรดิตถ์!I822"")+IMPORTRANGE(""https://docs.google.com/spreadsheets/d/1kII0BjS6CtVrBvI8IrytgPdxDrlyQDyigz"&amp;"MsohRtDMs/edit?usp=share_link"",""อุทัยธานี!I822"")
"),4449)</f>
        <v>4449</v>
      </c>
      <c r="J822" s="37">
        <f ca="1">IFERROR(__xludf.DUMMYFUNCTION("IMPORTRANGE(""https://docs.google.com/spreadsheets/d/1KxicF4apzSqm0-jIpmueT4kyZtE-Cwn5zskl7GD4loQ/edit?usp=share_link"",""กำแพงเพชร!J822"")+IMPORTRANGE(""https://docs.google.com/spreadsheets/d/1ZNYWeiFoFA1K1U4xKWqRX29MBvEyRHXORjo734Gnq_c/edit?usp=share_li"&amp;"nk"",""เชียงราย!J822"")
+IMPORTRANGE(""https://docs.google.com/spreadsheets/d/1Jgv0Y7YlHDtsiDawwp-uvifEJ8HVaSn0k2aGHG8-hwM/edit?usp=share_link"",""เชียงใหม่!J822"")+IMPORTRANGE(""https://docs.google.com/spreadsheets/d/1JWG2rZePOz9pe-f-ObA-yDr0VoOX2kSb0qIi"&amp;"x2mTUo8/edit?usp=share_link"",""ตาก!J822"")+IMPORTRANGE(""https://docs.google.com/spreadsheets/d/10nSRjK08hx8Y6HgSOQKNw81lyY46Zc7U_Cj72hBMp9U/edit?usp=share_link"",""นครสวรรค์!J822"")+IMPORTRANGE(""https://docs.google.com/spreadsheets/d/1gFVb7qd7amutrIxAA"&amp;"oM7lcy35hllxznovot8lyOfvDo/edit?usp=share_link"",""น่าน!J822"")+IMPORTRANGE(""https://docs.google.com/spreadsheets/d/1K0Aa9s-6EuHE5M0FG1F9aHLXRCOV917xvycTdLdct0w/edit?usp=share_link"",""พะเยา!J822"")+IMPORTRANGE(""https://docs.google.com/spreadsheets/d/1Y"&amp;"9LPKx95PyL5OKy09d-KbKJSuuEZCFdkhYjwC0XQjBA/edit?usp=share_link"",""พิจิตร!J822"")+IMPORTRANGE(""https://docs.google.com/spreadsheets/d/16OMuOwy2eVqZcYWOouQtTpa8X1L23h4660uVHc0C8os/edit?usp=share_link"",""พิษณุโลก!J822"")+IMPORTRANGE(""https://docs.google."&amp;"com/spreadsheets/d/1GfgTldLG6k77HXaMQzaafODklYuucJZQNs_GAPEfZyY/edit?usp=share_link"",""เพชรบูรณ์!J822"")+IMPORTRANGE(""https://docs.google.com/spreadsheets/d/1gvTMYAnm7v1yG1BKWFtr0DnaTsq59oW9dwWvFgq6hs0/edit?usp=share_link"",""แพร่!J822"")+IMPORTRANGE("""&amp;"https://docs.google.com/spreadsheets/d/1Wbcosgy-Xa1xXUArJSOenub6EfZHUSzc_bpJFWwQUf0/edit?usp=share_link"",""แม่ฮ่องสอน!J822"")+IMPORTRANGE(""https://docs.google.com/spreadsheets/d/1p7ERhsr0qZeSn-KSOdeHS9r0heI-lHtkcn2OH7hP0jQ/edit?usp=share_link"",""ลำปาง!"&amp;"J822"")+IMPORTRANGE(""https://docs.google.com/spreadsheets/d/1-uUXvimVhiU2U0bMN-xi2te0tS4X7DI2GLPnMjzl8cA/edit?usp=share_link"",""ลำพูน!J822"")+IMPORTRANGE(""https://docs.google.com/spreadsheets/d/17HrOaa5pBUI1onckFfumXB8xlg35qb2uBAFfF1D-Myo/edit?usp=shar"&amp;"e_link"",""สุโขทัย!J822"")+IMPORTRANGE(""https://docs.google.com/spreadsheets/d/1ubs5cl16eYL9gHbdHTJtmtYb9MGzHBs7CAphn8kNCgM/edit?usp=share_link"",""อุตรดิตถ์!J822"")+IMPORTRANGE(""https://docs.google.com/spreadsheets/d/1kII0BjS6CtVrBvI8IrytgPdxDrlyQDyigz"&amp;"MsohRtDMs/edit?usp=share_link"",""อุทัยธานี!J822"")
"),1420)</f>
        <v>1420</v>
      </c>
      <c r="K822" s="38">
        <f t="shared" ca="1" si="382"/>
        <v>31.917284783097326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541" t="s">
        <v>326</v>
      </c>
      <c r="C823" s="540"/>
      <c r="D823" s="539"/>
      <c r="E823" s="540"/>
      <c r="F823" s="540"/>
      <c r="G823" s="189"/>
      <c r="H823" s="36" t="s">
        <v>12</v>
      </c>
      <c r="I823" s="37">
        <f ca="1">IFERROR(__xludf.DUMMYFUNCTION("IMPORTRANGE(""https://docs.google.com/spreadsheets/d/1KxicF4apzSqm0-jIpmueT4kyZtE-Cwn5zskl7GD4loQ/edit?usp=share_link"",""กำแพงเพชร!I823"")+IMPORTRANGE(""https://docs.google.com/spreadsheets/d/1ZNYWeiFoFA1K1U4xKWqRX29MBvEyRHXORjo734Gnq_c/edit?usp=share_li"&amp;"nk"",""เชียงราย!I823"")
+IMPORTRANGE(""https://docs.google.com/spreadsheets/d/1Jgv0Y7YlHDtsiDawwp-uvifEJ8HVaSn0k2aGHG8-hwM/edit?usp=share_link"",""เชียงใหม่!I823"")+IMPORTRANGE(""https://docs.google.com/spreadsheets/d/1JWG2rZePOz9pe-f-ObA-yDr0VoOX2kSb0qIi"&amp;"x2mTUo8/edit?usp=share_link"",""ตาก!I823"")+IMPORTRANGE(""https://docs.google.com/spreadsheets/d/10nSRjK08hx8Y6HgSOQKNw81lyY46Zc7U_Cj72hBMp9U/edit?usp=share_link"",""นครสวรรค์!I823"")+IMPORTRANGE(""https://docs.google.com/spreadsheets/d/1gFVb7qd7amutrIxAA"&amp;"oM7lcy35hllxznovot8lyOfvDo/edit?usp=share_link"",""น่าน!I823"")+IMPORTRANGE(""https://docs.google.com/spreadsheets/d/1K0Aa9s-6EuHE5M0FG1F9aHLXRCOV917xvycTdLdct0w/edit?usp=share_link"",""พะเยา!I823"")+IMPORTRANGE(""https://docs.google.com/spreadsheets/d/1Y"&amp;"9LPKx95PyL5OKy09d-KbKJSuuEZCFdkhYjwC0XQjBA/edit?usp=share_link"",""พิจิตร!I823"")+IMPORTRANGE(""https://docs.google.com/spreadsheets/d/16OMuOwy2eVqZcYWOouQtTpa8X1L23h4660uVHc0C8os/edit?usp=share_link"",""พิษณุโลก!I823"")+IMPORTRANGE(""https://docs.google."&amp;"com/spreadsheets/d/1GfgTldLG6k77HXaMQzaafODklYuucJZQNs_GAPEfZyY/edit?usp=share_link"",""เพชรบูรณ์!I823"")+IMPORTRANGE(""https://docs.google.com/spreadsheets/d/1gvTMYAnm7v1yG1BKWFtr0DnaTsq59oW9dwWvFgq6hs0/edit?usp=share_link"",""แพร่!I823"")+IMPORTRANGE("""&amp;"https://docs.google.com/spreadsheets/d/1Wbcosgy-Xa1xXUArJSOenub6EfZHUSzc_bpJFWwQUf0/edit?usp=share_link"",""แม่ฮ่องสอน!I823"")+IMPORTRANGE(""https://docs.google.com/spreadsheets/d/1p7ERhsr0qZeSn-KSOdeHS9r0heI-lHtkcn2OH7hP0jQ/edit?usp=share_link"",""ลำปาง!"&amp;"I823"")+IMPORTRANGE(""https://docs.google.com/spreadsheets/d/1-uUXvimVhiU2U0bMN-xi2te0tS4X7DI2GLPnMjzl8cA/edit?usp=share_link"",""ลำพูน!I823"")+IMPORTRANGE(""https://docs.google.com/spreadsheets/d/17HrOaa5pBUI1onckFfumXB8xlg35qb2uBAFfF1D-Myo/edit?usp=shar"&amp;"e_link"",""สุโขทัย!I823"")+IMPORTRANGE(""https://docs.google.com/spreadsheets/d/1ubs5cl16eYL9gHbdHTJtmtYb9MGzHBs7CAphn8kNCgM/edit?usp=share_link"",""อุตรดิตถ์!I823"")+IMPORTRANGE(""https://docs.google.com/spreadsheets/d/1kII0BjS6CtVrBvI8IrytgPdxDrlyQDyigz"&amp;"MsohRtDMs/edit?usp=share_link"",""อุทัยธานี!I823"")
"),126388061.13)</f>
        <v>126388061.13</v>
      </c>
      <c r="J823" s="37">
        <f ca="1">IFERROR(__xludf.DUMMYFUNCTION("IMPORTRANGE(""https://docs.google.com/spreadsheets/d/1KxicF4apzSqm0-jIpmueT4kyZtE-Cwn5zskl7GD4loQ/edit?usp=share_link"",""กำแพงเพชร!J823"")+IMPORTRANGE(""https://docs.google.com/spreadsheets/d/1ZNYWeiFoFA1K1U4xKWqRX29MBvEyRHXORjo734Gnq_c/edit?usp=share_li"&amp;"nk"",""เชียงราย!J823"")
+IMPORTRANGE(""https://docs.google.com/spreadsheets/d/1Jgv0Y7YlHDtsiDawwp-uvifEJ8HVaSn0k2aGHG8-hwM/edit?usp=share_link"",""เชียงใหม่!J823"")+IMPORTRANGE(""https://docs.google.com/spreadsheets/d/1JWG2rZePOz9pe-f-ObA-yDr0VoOX2kSb0qIi"&amp;"x2mTUo8/edit?usp=share_link"",""ตาก!J823"")+IMPORTRANGE(""https://docs.google.com/spreadsheets/d/10nSRjK08hx8Y6HgSOQKNw81lyY46Zc7U_Cj72hBMp9U/edit?usp=share_link"",""นครสวรรค์!J823"")+IMPORTRANGE(""https://docs.google.com/spreadsheets/d/1gFVb7qd7amutrIxAA"&amp;"oM7lcy35hllxznovot8lyOfvDo/edit?usp=share_link"",""น่าน!J823"")+IMPORTRANGE(""https://docs.google.com/spreadsheets/d/1K0Aa9s-6EuHE5M0FG1F9aHLXRCOV917xvycTdLdct0w/edit?usp=share_link"",""พะเยา!J823"")+IMPORTRANGE(""https://docs.google.com/spreadsheets/d/1Y"&amp;"9LPKx95PyL5OKy09d-KbKJSuuEZCFdkhYjwC0XQjBA/edit?usp=share_link"",""พิจิตร!J823"")+IMPORTRANGE(""https://docs.google.com/spreadsheets/d/16OMuOwy2eVqZcYWOouQtTpa8X1L23h4660uVHc0C8os/edit?usp=share_link"",""พิษณุโลก!J823"")+IMPORTRANGE(""https://docs.google."&amp;"com/spreadsheets/d/1GfgTldLG6k77HXaMQzaafODklYuucJZQNs_GAPEfZyY/edit?usp=share_link"",""เพชรบูรณ์!J823"")+IMPORTRANGE(""https://docs.google.com/spreadsheets/d/1gvTMYAnm7v1yG1BKWFtr0DnaTsq59oW9dwWvFgq6hs0/edit?usp=share_link"",""แพร่!J823"")+IMPORTRANGE("""&amp;"https://docs.google.com/spreadsheets/d/1Wbcosgy-Xa1xXUArJSOenub6EfZHUSzc_bpJFWwQUf0/edit?usp=share_link"",""แม่ฮ่องสอน!J823"")+IMPORTRANGE(""https://docs.google.com/spreadsheets/d/1p7ERhsr0qZeSn-KSOdeHS9r0heI-lHtkcn2OH7hP0jQ/edit?usp=share_link"",""ลำปาง!"&amp;"J823"")+IMPORTRANGE(""https://docs.google.com/spreadsheets/d/1-uUXvimVhiU2U0bMN-xi2te0tS4X7DI2GLPnMjzl8cA/edit?usp=share_link"",""ลำพูน!J823"")+IMPORTRANGE(""https://docs.google.com/spreadsheets/d/17HrOaa5pBUI1onckFfumXB8xlg35qb2uBAFfF1D-Myo/edit?usp=shar"&amp;"e_link"",""สุโขทัย!J823"")+IMPORTRANGE(""https://docs.google.com/spreadsheets/d/1ubs5cl16eYL9gHbdHTJtmtYb9MGzHBs7CAphn8kNCgM/edit?usp=share_link"",""อุตรดิตถ์!J823"")+IMPORTRANGE(""https://docs.google.com/spreadsheets/d/1kII0BjS6CtVrBvI8IrytgPdxDrlyQDyigz"&amp;"MsohRtDMs/edit?usp=share_link"",""อุทัยธานี!J823"")
"),6078863.83)</f>
        <v>6078863.8300000001</v>
      </c>
      <c r="K823" s="38">
        <f t="shared" ca="1" si="382"/>
        <v>4.80968200291277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540"/>
      <c r="C824" s="540"/>
      <c r="D824" s="539"/>
      <c r="E824" s="540"/>
      <c r="F824" s="540"/>
      <c r="G824" s="189"/>
      <c r="H824" s="36" t="s">
        <v>35</v>
      </c>
      <c r="I824" s="37">
        <f ca="1">IFERROR(__xludf.DUMMYFUNCTION("IMPORTRANGE(""https://docs.google.com/spreadsheets/d/1KxicF4apzSqm0-jIpmueT4kyZtE-Cwn5zskl7GD4loQ/edit?usp=share_link"",""กำแพงเพชร!I824"")+IMPORTRANGE(""https://docs.google.com/spreadsheets/d/1ZNYWeiFoFA1K1U4xKWqRX29MBvEyRHXORjo734Gnq_c/edit?usp=share_li"&amp;"nk"",""เชียงราย!I824"")
+IMPORTRANGE(""https://docs.google.com/spreadsheets/d/1Jgv0Y7YlHDtsiDawwp-uvifEJ8HVaSn0k2aGHG8-hwM/edit?usp=share_link"",""เชียงใหม่!I824"")+IMPORTRANGE(""https://docs.google.com/spreadsheets/d/1JWG2rZePOz9pe-f-ObA-yDr0VoOX2kSb0qIi"&amp;"x2mTUo8/edit?usp=share_link"",""ตาก!I824"")+IMPORTRANGE(""https://docs.google.com/spreadsheets/d/10nSRjK08hx8Y6HgSOQKNw81lyY46Zc7U_Cj72hBMp9U/edit?usp=share_link"",""นครสวรรค์!I824"")+IMPORTRANGE(""https://docs.google.com/spreadsheets/d/1gFVb7qd7amutrIxAA"&amp;"oM7lcy35hllxznovot8lyOfvDo/edit?usp=share_link"",""น่าน!I824"")+IMPORTRANGE(""https://docs.google.com/spreadsheets/d/1K0Aa9s-6EuHE5M0FG1F9aHLXRCOV917xvycTdLdct0w/edit?usp=share_link"",""พะเยา!I824"")+IMPORTRANGE(""https://docs.google.com/spreadsheets/d/1Y"&amp;"9LPKx95PyL5OKy09d-KbKJSuuEZCFdkhYjwC0XQjBA/edit?usp=share_link"",""พิจิตร!I824"")+IMPORTRANGE(""https://docs.google.com/spreadsheets/d/16OMuOwy2eVqZcYWOouQtTpa8X1L23h4660uVHc0C8os/edit?usp=share_link"",""พิษณุโลก!I824"")+IMPORTRANGE(""https://docs.google."&amp;"com/spreadsheets/d/1GfgTldLG6k77HXaMQzaafODklYuucJZQNs_GAPEfZyY/edit?usp=share_link"",""เพชรบูรณ์!I824"")+IMPORTRANGE(""https://docs.google.com/spreadsheets/d/1gvTMYAnm7v1yG1BKWFtr0DnaTsq59oW9dwWvFgq6hs0/edit?usp=share_link"",""แพร่!I824"")+IMPORTRANGE("""&amp;"https://docs.google.com/spreadsheets/d/1Wbcosgy-Xa1xXUArJSOenub6EfZHUSzc_bpJFWwQUf0/edit?usp=share_link"",""แม่ฮ่องสอน!I824"")+IMPORTRANGE(""https://docs.google.com/spreadsheets/d/1p7ERhsr0qZeSn-KSOdeHS9r0heI-lHtkcn2OH7hP0jQ/edit?usp=share_link"",""ลำปาง!"&amp;"I824"")+IMPORTRANGE(""https://docs.google.com/spreadsheets/d/1-uUXvimVhiU2U0bMN-xi2te0tS4X7DI2GLPnMjzl8cA/edit?usp=share_link"",""ลำพูน!I824"")+IMPORTRANGE(""https://docs.google.com/spreadsheets/d/17HrOaa5pBUI1onckFfumXB8xlg35qb2uBAFfF1D-Myo/edit?usp=shar"&amp;"e_link"",""สุโขทัย!I824"")+IMPORTRANGE(""https://docs.google.com/spreadsheets/d/1ubs5cl16eYL9gHbdHTJtmtYb9MGzHBs7CAphn8kNCgM/edit?usp=share_link"",""อุตรดิตถ์!I824"")+IMPORTRANGE(""https://docs.google.com/spreadsheets/d/1kII0BjS6CtVrBvI8IrytgPdxDrlyQDyigz"&amp;"MsohRtDMs/edit?usp=share_link"",""อุทัยธานี!I824"")
"),4417)</f>
        <v>4417</v>
      </c>
      <c r="J824" s="37">
        <f ca="1">IFERROR(__xludf.DUMMYFUNCTION("IMPORTRANGE(""https://docs.google.com/spreadsheets/d/1KxicF4apzSqm0-jIpmueT4kyZtE-Cwn5zskl7GD4loQ/edit?usp=share_link"",""กำแพงเพชร!J824"")+IMPORTRANGE(""https://docs.google.com/spreadsheets/d/1ZNYWeiFoFA1K1U4xKWqRX29MBvEyRHXORjo734Gnq_c/edit?usp=share_li"&amp;"nk"",""เชียงราย!J824"")
+IMPORTRANGE(""https://docs.google.com/spreadsheets/d/1Jgv0Y7YlHDtsiDawwp-uvifEJ8HVaSn0k2aGHG8-hwM/edit?usp=share_link"",""เชียงใหม่!J824"")+IMPORTRANGE(""https://docs.google.com/spreadsheets/d/1JWG2rZePOz9pe-f-ObA-yDr0VoOX2kSb0qIi"&amp;"x2mTUo8/edit?usp=share_link"",""ตาก!J824"")+IMPORTRANGE(""https://docs.google.com/spreadsheets/d/10nSRjK08hx8Y6HgSOQKNw81lyY46Zc7U_Cj72hBMp9U/edit?usp=share_link"",""นครสวรรค์!J824"")+IMPORTRANGE(""https://docs.google.com/spreadsheets/d/1gFVb7qd7amutrIxAA"&amp;"oM7lcy35hllxznovot8lyOfvDo/edit?usp=share_link"",""น่าน!J824"")+IMPORTRANGE(""https://docs.google.com/spreadsheets/d/1K0Aa9s-6EuHE5M0FG1F9aHLXRCOV917xvycTdLdct0w/edit?usp=share_link"",""พะเยา!J824"")+IMPORTRANGE(""https://docs.google.com/spreadsheets/d/1Y"&amp;"9LPKx95PyL5OKy09d-KbKJSuuEZCFdkhYjwC0XQjBA/edit?usp=share_link"",""พิจิตร!J824"")+IMPORTRANGE(""https://docs.google.com/spreadsheets/d/16OMuOwy2eVqZcYWOouQtTpa8X1L23h4660uVHc0C8os/edit?usp=share_link"",""พิษณุโลก!J824"")+IMPORTRANGE(""https://docs.google."&amp;"com/spreadsheets/d/1GfgTldLG6k77HXaMQzaafODklYuucJZQNs_GAPEfZyY/edit?usp=share_link"",""เพชรบูรณ์!J824"")+IMPORTRANGE(""https://docs.google.com/spreadsheets/d/1gvTMYAnm7v1yG1BKWFtr0DnaTsq59oW9dwWvFgq6hs0/edit?usp=share_link"",""แพร่!J824"")+IMPORTRANGE("""&amp;"https://docs.google.com/spreadsheets/d/1Wbcosgy-Xa1xXUArJSOenub6EfZHUSzc_bpJFWwQUf0/edit?usp=share_link"",""แม่ฮ่องสอน!J824"")+IMPORTRANGE(""https://docs.google.com/spreadsheets/d/1p7ERhsr0qZeSn-KSOdeHS9r0heI-lHtkcn2OH7hP0jQ/edit?usp=share_link"",""ลำปาง!"&amp;"J824"")+IMPORTRANGE(""https://docs.google.com/spreadsheets/d/1-uUXvimVhiU2U0bMN-xi2te0tS4X7DI2GLPnMjzl8cA/edit?usp=share_link"",""ลำพูน!J824"")+IMPORTRANGE(""https://docs.google.com/spreadsheets/d/17HrOaa5pBUI1onckFfumXB8xlg35qb2uBAFfF1D-Myo/edit?usp=shar"&amp;"e_link"",""สุโขทัย!J824"")+IMPORTRANGE(""https://docs.google.com/spreadsheets/d/1ubs5cl16eYL9gHbdHTJtmtYb9MGzHBs7CAphn8kNCgM/edit?usp=share_link"",""อุตรดิตถ์!J824"")+IMPORTRANGE(""https://docs.google.com/spreadsheets/d/1kII0BjS6CtVrBvI8IrytgPdxDrlyQDyigz"&amp;"MsohRtDMs/edit?usp=share_link"",""อุทัยธานี!J824"")
"),1116)</f>
        <v>1116</v>
      </c>
      <c r="K824" s="38">
        <f t="shared" ca="1" si="382"/>
        <v>25.2660176590446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541" t="s">
        <v>327</v>
      </c>
      <c r="C825" s="540"/>
      <c r="D825" s="539"/>
      <c r="E825" s="540"/>
      <c r="F825" s="540"/>
      <c r="G825" s="189"/>
      <c r="H825" s="36" t="s">
        <v>12</v>
      </c>
      <c r="I825" s="37">
        <f ca="1">IFERROR(__xludf.DUMMYFUNCTION("IMPORTRANGE(""https://docs.google.com/spreadsheets/d/1KxicF4apzSqm0-jIpmueT4kyZtE-Cwn5zskl7GD4loQ/edit?usp=share_link"",""กำแพงเพชร!I825"")+IMPORTRANGE(""https://docs.google.com/spreadsheets/d/1ZNYWeiFoFA1K1U4xKWqRX29MBvEyRHXORjo734Gnq_c/edit?usp=share_li"&amp;"nk"",""เชียงราย!I825"")
+IMPORTRANGE(""https://docs.google.com/spreadsheets/d/1Jgv0Y7YlHDtsiDawwp-uvifEJ8HVaSn0k2aGHG8-hwM/edit?usp=share_link"",""เชียงใหม่!I825"")+IMPORTRANGE(""https://docs.google.com/spreadsheets/d/1JWG2rZePOz9pe-f-ObA-yDr0VoOX2kSb0qIi"&amp;"x2mTUo8/edit?usp=share_link"",""ตาก!I825"")+IMPORTRANGE(""https://docs.google.com/spreadsheets/d/10nSRjK08hx8Y6HgSOQKNw81lyY46Zc7U_Cj72hBMp9U/edit?usp=share_link"",""นครสวรรค์!I825"")+IMPORTRANGE(""https://docs.google.com/spreadsheets/d/1gFVb7qd7amutrIxAA"&amp;"oM7lcy35hllxznovot8lyOfvDo/edit?usp=share_link"",""น่าน!I825"")+IMPORTRANGE(""https://docs.google.com/spreadsheets/d/1K0Aa9s-6EuHE5M0FG1F9aHLXRCOV917xvycTdLdct0w/edit?usp=share_link"",""พะเยา!I825"")+IMPORTRANGE(""https://docs.google.com/spreadsheets/d/1Y"&amp;"9LPKx95PyL5OKy09d-KbKJSuuEZCFdkhYjwC0XQjBA/edit?usp=share_link"",""พิจิตร!I825"")+IMPORTRANGE(""https://docs.google.com/spreadsheets/d/16OMuOwy2eVqZcYWOouQtTpa8X1L23h4660uVHc0C8os/edit?usp=share_link"",""พิษณุโลก!I825"")+IMPORTRANGE(""https://docs.google."&amp;"com/spreadsheets/d/1GfgTldLG6k77HXaMQzaafODklYuucJZQNs_GAPEfZyY/edit?usp=share_link"",""เพชรบูรณ์!I825"")+IMPORTRANGE(""https://docs.google.com/spreadsheets/d/1gvTMYAnm7v1yG1BKWFtr0DnaTsq59oW9dwWvFgq6hs0/edit?usp=share_link"",""แพร่!I825"")+IMPORTRANGE("""&amp;"https://docs.google.com/spreadsheets/d/1Wbcosgy-Xa1xXUArJSOenub6EfZHUSzc_bpJFWwQUf0/edit?usp=share_link"",""แม่ฮ่องสอน!I825"")+IMPORTRANGE(""https://docs.google.com/spreadsheets/d/1p7ERhsr0qZeSn-KSOdeHS9r0heI-lHtkcn2OH7hP0jQ/edit?usp=share_link"",""ลำปาง!"&amp;"I825"")+IMPORTRANGE(""https://docs.google.com/spreadsheets/d/1-uUXvimVhiU2U0bMN-xi2te0tS4X7DI2GLPnMjzl8cA/edit?usp=share_link"",""ลำพูน!I825"")+IMPORTRANGE(""https://docs.google.com/spreadsheets/d/17HrOaa5pBUI1onckFfumXB8xlg35qb2uBAFfF1D-Myo/edit?usp=shar"&amp;"e_link"",""สุโขทัย!I825"")+IMPORTRANGE(""https://docs.google.com/spreadsheets/d/1ubs5cl16eYL9gHbdHTJtmtYb9MGzHBs7CAphn8kNCgM/edit?usp=share_link"",""อุตรดิตถ์!I825"")+IMPORTRANGE(""https://docs.google.com/spreadsheets/d/1kII0BjS6CtVrBvI8IrytgPdxDrlyQDyigz"&amp;"MsohRtDMs/edit?usp=share_link"",""อุทัยธานี!I825"")
"),67317652.6)</f>
        <v>67317652.599999994</v>
      </c>
      <c r="J825" s="37">
        <f ca="1">IFERROR(__xludf.DUMMYFUNCTION("IMPORTRANGE(""https://docs.google.com/spreadsheets/d/1KxicF4apzSqm0-jIpmueT4kyZtE-Cwn5zskl7GD4loQ/edit?usp=share_link"",""กำแพงเพชร!J825"")+IMPORTRANGE(""https://docs.google.com/spreadsheets/d/1ZNYWeiFoFA1K1U4xKWqRX29MBvEyRHXORjo734Gnq_c/edit?usp=share_li"&amp;"nk"",""เชียงราย!J825"")
+IMPORTRANGE(""https://docs.google.com/spreadsheets/d/1Jgv0Y7YlHDtsiDawwp-uvifEJ8HVaSn0k2aGHG8-hwM/edit?usp=share_link"",""เชียงใหม่!J825"")+IMPORTRANGE(""https://docs.google.com/spreadsheets/d/1JWG2rZePOz9pe-f-ObA-yDr0VoOX2kSb0qIi"&amp;"x2mTUo8/edit?usp=share_link"",""ตาก!J825"")+IMPORTRANGE(""https://docs.google.com/spreadsheets/d/10nSRjK08hx8Y6HgSOQKNw81lyY46Zc7U_Cj72hBMp9U/edit?usp=share_link"",""นครสวรรค์!J825"")+IMPORTRANGE(""https://docs.google.com/spreadsheets/d/1gFVb7qd7amutrIxAA"&amp;"oM7lcy35hllxznovot8lyOfvDo/edit?usp=share_link"",""น่าน!J825"")+IMPORTRANGE(""https://docs.google.com/spreadsheets/d/1K0Aa9s-6EuHE5M0FG1F9aHLXRCOV917xvycTdLdct0w/edit?usp=share_link"",""พะเยา!J825"")+IMPORTRANGE(""https://docs.google.com/spreadsheets/d/1Y"&amp;"9LPKx95PyL5OKy09d-KbKJSuuEZCFdkhYjwC0XQjBA/edit?usp=share_link"",""พิจิตร!J825"")+IMPORTRANGE(""https://docs.google.com/spreadsheets/d/16OMuOwy2eVqZcYWOouQtTpa8X1L23h4660uVHc0C8os/edit?usp=share_link"",""พิษณุโลก!J825"")+IMPORTRANGE(""https://docs.google."&amp;"com/spreadsheets/d/1GfgTldLG6k77HXaMQzaafODklYuucJZQNs_GAPEfZyY/edit?usp=share_link"",""เพชรบูรณ์!J825"")+IMPORTRANGE(""https://docs.google.com/spreadsheets/d/1gvTMYAnm7v1yG1BKWFtr0DnaTsq59oW9dwWvFgq6hs0/edit?usp=share_link"",""แพร่!J825"")+IMPORTRANGE("""&amp;"https://docs.google.com/spreadsheets/d/1Wbcosgy-Xa1xXUArJSOenub6EfZHUSzc_bpJFWwQUf0/edit?usp=share_link"",""แม่ฮ่องสอน!J825"")+IMPORTRANGE(""https://docs.google.com/spreadsheets/d/1p7ERhsr0qZeSn-KSOdeHS9r0heI-lHtkcn2OH7hP0jQ/edit?usp=share_link"",""ลำปาง!"&amp;"J825"")+IMPORTRANGE(""https://docs.google.com/spreadsheets/d/1-uUXvimVhiU2U0bMN-xi2te0tS4X7DI2GLPnMjzl8cA/edit?usp=share_link"",""ลำพูน!J825"")+IMPORTRANGE(""https://docs.google.com/spreadsheets/d/17HrOaa5pBUI1onckFfumXB8xlg35qb2uBAFfF1D-Myo/edit?usp=shar"&amp;"e_link"",""สุโขทัย!J825"")+IMPORTRANGE(""https://docs.google.com/spreadsheets/d/1ubs5cl16eYL9gHbdHTJtmtYb9MGzHBs7CAphn8kNCgM/edit?usp=share_link"",""อุตรดิตถ์!J825"")+IMPORTRANGE(""https://docs.google.com/spreadsheets/d/1kII0BjS6CtVrBvI8IrytgPdxDrlyQDyigz"&amp;"MsohRtDMs/edit?usp=share_link"",""อุทัยธานี!J825"")
"),14851355.34)</f>
        <v>14851355.34</v>
      </c>
      <c r="K825" s="38">
        <f t="shared" ca="1" si="382"/>
        <v>22.061606081611945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540"/>
      <c r="C826" s="540"/>
      <c r="D826" s="539"/>
      <c r="E826" s="540"/>
      <c r="F826" s="540"/>
      <c r="G826" s="189"/>
      <c r="H826" s="36" t="s">
        <v>35</v>
      </c>
      <c r="I826" s="37">
        <f ca="1">IFERROR(__xludf.DUMMYFUNCTION("IMPORTRANGE(""https://docs.google.com/spreadsheets/d/1KxicF4apzSqm0-jIpmueT4kyZtE-Cwn5zskl7GD4loQ/edit?usp=share_link"",""กำแพงเพชร!I826"")+IMPORTRANGE(""https://docs.google.com/spreadsheets/d/1ZNYWeiFoFA1K1U4xKWqRX29MBvEyRHXORjo734Gnq_c/edit?usp=share_li"&amp;"nk"",""เชียงราย!I826"")
+IMPORTRANGE(""https://docs.google.com/spreadsheets/d/1Jgv0Y7YlHDtsiDawwp-uvifEJ8HVaSn0k2aGHG8-hwM/edit?usp=share_link"",""เชียงใหม่!I826"")+IMPORTRANGE(""https://docs.google.com/spreadsheets/d/1JWG2rZePOz9pe-f-ObA-yDr0VoOX2kSb0qIi"&amp;"x2mTUo8/edit?usp=share_link"",""ตาก!I826"")+IMPORTRANGE(""https://docs.google.com/spreadsheets/d/10nSRjK08hx8Y6HgSOQKNw81lyY46Zc7U_Cj72hBMp9U/edit?usp=share_link"",""นครสวรรค์!I826"")+IMPORTRANGE(""https://docs.google.com/spreadsheets/d/1gFVb7qd7amutrIxAA"&amp;"oM7lcy35hllxznovot8lyOfvDo/edit?usp=share_link"",""น่าน!I826"")+IMPORTRANGE(""https://docs.google.com/spreadsheets/d/1K0Aa9s-6EuHE5M0FG1F9aHLXRCOV917xvycTdLdct0w/edit?usp=share_link"",""พะเยา!I826"")+IMPORTRANGE(""https://docs.google.com/spreadsheets/d/1Y"&amp;"9LPKx95PyL5OKy09d-KbKJSuuEZCFdkhYjwC0XQjBA/edit?usp=share_link"",""พิจิตร!I826"")+IMPORTRANGE(""https://docs.google.com/spreadsheets/d/16OMuOwy2eVqZcYWOouQtTpa8X1L23h4660uVHc0C8os/edit?usp=share_link"",""พิษณุโลก!I826"")+IMPORTRANGE(""https://docs.google."&amp;"com/spreadsheets/d/1GfgTldLG6k77HXaMQzaafODklYuucJZQNs_GAPEfZyY/edit?usp=share_link"",""เพชรบูรณ์!I826"")+IMPORTRANGE(""https://docs.google.com/spreadsheets/d/1gvTMYAnm7v1yG1BKWFtr0DnaTsq59oW9dwWvFgq6hs0/edit?usp=share_link"",""แพร่!I826"")+IMPORTRANGE("""&amp;"https://docs.google.com/spreadsheets/d/1Wbcosgy-Xa1xXUArJSOenub6EfZHUSzc_bpJFWwQUf0/edit?usp=share_link"",""แม่ฮ่องสอน!I826"")+IMPORTRANGE(""https://docs.google.com/spreadsheets/d/1p7ERhsr0qZeSn-KSOdeHS9r0heI-lHtkcn2OH7hP0jQ/edit?usp=share_link"",""ลำปาง!"&amp;"I826"")+IMPORTRANGE(""https://docs.google.com/spreadsheets/d/1-uUXvimVhiU2U0bMN-xi2te0tS4X7DI2GLPnMjzl8cA/edit?usp=share_link"",""ลำพูน!I826"")+IMPORTRANGE(""https://docs.google.com/spreadsheets/d/17HrOaa5pBUI1onckFfumXB8xlg35qb2uBAFfF1D-Myo/edit?usp=shar"&amp;"e_link"",""สุโขทัย!I826"")+IMPORTRANGE(""https://docs.google.com/spreadsheets/d/1ubs5cl16eYL9gHbdHTJtmtYb9MGzHBs7CAphn8kNCgM/edit?usp=share_link"",""อุตรดิตถ์!I826"")+IMPORTRANGE(""https://docs.google.com/spreadsheets/d/1kII0BjS6CtVrBvI8IrytgPdxDrlyQDyigz"&amp;"MsohRtDMs/edit?usp=share_link"",""อุทัยธานี!I826"")
"),5463)</f>
        <v>5463</v>
      </c>
      <c r="J826" s="37">
        <f ca="1">IFERROR(__xludf.DUMMYFUNCTION("IMPORTRANGE(""https://docs.google.com/spreadsheets/d/1KxicF4apzSqm0-jIpmueT4kyZtE-Cwn5zskl7GD4loQ/edit?usp=share_link"",""กำแพงเพชร!J826"")+IMPORTRANGE(""https://docs.google.com/spreadsheets/d/1ZNYWeiFoFA1K1U4xKWqRX29MBvEyRHXORjo734Gnq_c/edit?usp=share_li"&amp;"nk"",""เชียงราย!J826"")
+IMPORTRANGE(""https://docs.google.com/spreadsheets/d/1Jgv0Y7YlHDtsiDawwp-uvifEJ8HVaSn0k2aGHG8-hwM/edit?usp=share_link"",""เชียงใหม่!J826"")+IMPORTRANGE(""https://docs.google.com/spreadsheets/d/1JWG2rZePOz9pe-f-ObA-yDr0VoOX2kSb0qIi"&amp;"x2mTUo8/edit?usp=share_link"",""ตาก!J826"")+IMPORTRANGE(""https://docs.google.com/spreadsheets/d/10nSRjK08hx8Y6HgSOQKNw81lyY46Zc7U_Cj72hBMp9U/edit?usp=share_link"",""นครสวรรค์!J826"")+IMPORTRANGE(""https://docs.google.com/spreadsheets/d/1gFVb7qd7amutrIxAA"&amp;"oM7lcy35hllxznovot8lyOfvDo/edit?usp=share_link"",""น่าน!J826"")+IMPORTRANGE(""https://docs.google.com/spreadsheets/d/1K0Aa9s-6EuHE5M0FG1F9aHLXRCOV917xvycTdLdct0w/edit?usp=share_link"",""พะเยา!J826"")+IMPORTRANGE(""https://docs.google.com/spreadsheets/d/1Y"&amp;"9LPKx95PyL5OKy09d-KbKJSuuEZCFdkhYjwC0XQjBA/edit?usp=share_link"",""พิจิตร!J826"")+IMPORTRANGE(""https://docs.google.com/spreadsheets/d/16OMuOwy2eVqZcYWOouQtTpa8X1L23h4660uVHc0C8os/edit?usp=share_link"",""พิษณุโลก!J826"")+IMPORTRANGE(""https://docs.google."&amp;"com/spreadsheets/d/1GfgTldLG6k77HXaMQzaafODklYuucJZQNs_GAPEfZyY/edit?usp=share_link"",""เพชรบูรณ์!J826"")+IMPORTRANGE(""https://docs.google.com/spreadsheets/d/1gvTMYAnm7v1yG1BKWFtr0DnaTsq59oW9dwWvFgq6hs0/edit?usp=share_link"",""แพร่!J826"")+IMPORTRANGE("""&amp;"https://docs.google.com/spreadsheets/d/1Wbcosgy-Xa1xXUArJSOenub6EfZHUSzc_bpJFWwQUf0/edit?usp=share_link"",""แม่ฮ่องสอน!J826"")+IMPORTRANGE(""https://docs.google.com/spreadsheets/d/1p7ERhsr0qZeSn-KSOdeHS9r0heI-lHtkcn2OH7hP0jQ/edit?usp=share_link"",""ลำปาง!"&amp;"J826"")+IMPORTRANGE(""https://docs.google.com/spreadsheets/d/1-uUXvimVhiU2U0bMN-xi2te0tS4X7DI2GLPnMjzl8cA/edit?usp=share_link"",""ลำพูน!J826"")+IMPORTRANGE(""https://docs.google.com/spreadsheets/d/17HrOaa5pBUI1onckFfumXB8xlg35qb2uBAFfF1D-Myo/edit?usp=shar"&amp;"e_link"",""สุโขทัย!J826"")+IMPORTRANGE(""https://docs.google.com/spreadsheets/d/1ubs5cl16eYL9gHbdHTJtmtYb9MGzHBs7CAphn8kNCgM/edit?usp=share_link"",""อุตรดิตถ์!J826"")+IMPORTRANGE(""https://docs.google.com/spreadsheets/d/1kII0BjS6CtVrBvI8IrytgPdxDrlyQDyigz"&amp;"MsohRtDMs/edit?usp=share_link"",""อุทัยธานี!J826"")
"),2342)</f>
        <v>2342</v>
      </c>
      <c r="K826" s="38">
        <f t="shared" ca="1" si="382"/>
        <v>42.870217829031667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541" t="s">
        <v>328</v>
      </c>
      <c r="C827" s="540"/>
      <c r="D827" s="539"/>
      <c r="E827" s="540"/>
      <c r="F827" s="540"/>
      <c r="G827" s="189"/>
      <c r="H827" s="36" t="s">
        <v>12</v>
      </c>
      <c r="I827" s="37">
        <f ca="1">IFERROR(__xludf.DUMMYFUNCTION("IMPORTRANGE(""https://docs.google.com/spreadsheets/d/1KxicF4apzSqm0-jIpmueT4kyZtE-Cwn5zskl7GD4loQ/edit?usp=share_link"",""กำแพงเพชร!I827"")+IMPORTRANGE(""https://docs.google.com/spreadsheets/d/1ZNYWeiFoFA1K1U4xKWqRX29MBvEyRHXORjo734Gnq_c/edit?usp=share_li"&amp;"nk"",""เชียงราย!I827"")
+IMPORTRANGE(""https://docs.google.com/spreadsheets/d/1Jgv0Y7YlHDtsiDawwp-uvifEJ8HVaSn0k2aGHG8-hwM/edit?usp=share_link"",""เชียงใหม่!I827"")+IMPORTRANGE(""https://docs.google.com/spreadsheets/d/1JWG2rZePOz9pe-f-ObA-yDr0VoOX2kSb0qIi"&amp;"x2mTUo8/edit?usp=share_link"",""ตาก!I827"")+IMPORTRANGE(""https://docs.google.com/spreadsheets/d/10nSRjK08hx8Y6HgSOQKNw81lyY46Zc7U_Cj72hBMp9U/edit?usp=share_link"",""นครสวรรค์!I827"")+IMPORTRANGE(""https://docs.google.com/spreadsheets/d/1gFVb7qd7amutrIxAA"&amp;"oM7lcy35hllxznovot8lyOfvDo/edit?usp=share_link"",""น่าน!I827"")+IMPORTRANGE(""https://docs.google.com/spreadsheets/d/1K0Aa9s-6EuHE5M0FG1F9aHLXRCOV917xvycTdLdct0w/edit?usp=share_link"",""พะเยา!I827"")+IMPORTRANGE(""https://docs.google.com/spreadsheets/d/1Y"&amp;"9LPKx95PyL5OKy09d-KbKJSuuEZCFdkhYjwC0XQjBA/edit?usp=share_link"",""พิจิตร!I827"")+IMPORTRANGE(""https://docs.google.com/spreadsheets/d/16OMuOwy2eVqZcYWOouQtTpa8X1L23h4660uVHc0C8os/edit?usp=share_link"",""พิษณุโลก!I827"")+IMPORTRANGE(""https://docs.google."&amp;"com/spreadsheets/d/1GfgTldLG6k77HXaMQzaafODklYuucJZQNs_GAPEfZyY/edit?usp=share_link"",""เพชรบูรณ์!I827"")+IMPORTRANGE(""https://docs.google.com/spreadsheets/d/1gvTMYAnm7v1yG1BKWFtr0DnaTsq59oW9dwWvFgq6hs0/edit?usp=share_link"",""แพร่!I827"")+IMPORTRANGE("""&amp;"https://docs.google.com/spreadsheets/d/1Wbcosgy-Xa1xXUArJSOenub6EfZHUSzc_bpJFWwQUf0/edit?usp=share_link"",""แม่ฮ่องสอน!I827"")+IMPORTRANGE(""https://docs.google.com/spreadsheets/d/1p7ERhsr0qZeSn-KSOdeHS9r0heI-lHtkcn2OH7hP0jQ/edit?usp=share_link"",""ลำปาง!"&amp;"I827"")+IMPORTRANGE(""https://docs.google.com/spreadsheets/d/1-uUXvimVhiU2U0bMN-xi2te0tS4X7DI2GLPnMjzl8cA/edit?usp=share_link"",""ลำพูน!I827"")+IMPORTRANGE(""https://docs.google.com/spreadsheets/d/17HrOaa5pBUI1onckFfumXB8xlg35qb2uBAFfF1D-Myo/edit?usp=shar"&amp;"e_link"",""สุโขทัย!I827"")+IMPORTRANGE(""https://docs.google.com/spreadsheets/d/1ubs5cl16eYL9gHbdHTJtmtYb9MGzHBs7CAphn8kNCgM/edit?usp=share_link"",""อุตรดิตถ์!I827"")+IMPORTRANGE(""https://docs.google.com/spreadsheets/d/1kII0BjS6CtVrBvI8IrytgPdxDrlyQDyigz"&amp;"MsohRtDMs/edit?usp=share_link"",""อุทัยธานี!I827"")
"),95075000)</f>
        <v>95075000</v>
      </c>
      <c r="J827" s="37">
        <f ca="1">IFERROR(__xludf.DUMMYFUNCTION("IMPORTRANGE(""https://docs.google.com/spreadsheets/d/1KxicF4apzSqm0-jIpmueT4kyZtE-Cwn5zskl7GD4loQ/edit?usp=share_link"",""กำแพงเพชร!J827"")+IMPORTRANGE(""https://docs.google.com/spreadsheets/d/1ZNYWeiFoFA1K1U4xKWqRX29MBvEyRHXORjo734Gnq_c/edit?usp=share_li"&amp;"nk"",""เชียงราย!J827"")
+IMPORTRANGE(""https://docs.google.com/spreadsheets/d/1Jgv0Y7YlHDtsiDawwp-uvifEJ8HVaSn0k2aGHG8-hwM/edit?usp=share_link"",""เชียงใหม่!J827"")+IMPORTRANGE(""https://docs.google.com/spreadsheets/d/1JWG2rZePOz9pe-f-ObA-yDr0VoOX2kSb0qIi"&amp;"x2mTUo8/edit?usp=share_link"",""ตาก!J827"")+IMPORTRANGE(""https://docs.google.com/spreadsheets/d/10nSRjK08hx8Y6HgSOQKNw81lyY46Zc7U_Cj72hBMp9U/edit?usp=share_link"",""นครสวรรค์!J827"")+IMPORTRANGE(""https://docs.google.com/spreadsheets/d/1gFVb7qd7amutrIxAA"&amp;"oM7lcy35hllxznovot8lyOfvDo/edit?usp=share_link"",""น่าน!J827"")+IMPORTRANGE(""https://docs.google.com/spreadsheets/d/1K0Aa9s-6EuHE5M0FG1F9aHLXRCOV917xvycTdLdct0w/edit?usp=share_link"",""พะเยา!J827"")+IMPORTRANGE(""https://docs.google.com/spreadsheets/d/1Y"&amp;"9LPKx95PyL5OKy09d-KbKJSuuEZCFdkhYjwC0XQjBA/edit?usp=share_link"",""พิจิตร!J827"")+IMPORTRANGE(""https://docs.google.com/spreadsheets/d/16OMuOwy2eVqZcYWOouQtTpa8X1L23h4660uVHc0C8os/edit?usp=share_link"",""พิษณุโลก!J827"")+IMPORTRANGE(""https://docs.google."&amp;"com/spreadsheets/d/1GfgTldLG6k77HXaMQzaafODklYuucJZQNs_GAPEfZyY/edit?usp=share_link"",""เพชรบูรณ์!J827"")+IMPORTRANGE(""https://docs.google.com/spreadsheets/d/1gvTMYAnm7v1yG1BKWFtr0DnaTsq59oW9dwWvFgq6hs0/edit?usp=share_link"",""แพร่!J827"")+IMPORTRANGE("""&amp;"https://docs.google.com/spreadsheets/d/1Wbcosgy-Xa1xXUArJSOenub6EfZHUSzc_bpJFWwQUf0/edit?usp=share_link"",""แม่ฮ่องสอน!J827"")+IMPORTRANGE(""https://docs.google.com/spreadsheets/d/1p7ERhsr0qZeSn-KSOdeHS9r0heI-lHtkcn2OH7hP0jQ/edit?usp=share_link"",""ลำปาง!"&amp;"J827"")+IMPORTRANGE(""https://docs.google.com/spreadsheets/d/1-uUXvimVhiU2U0bMN-xi2te0tS4X7DI2GLPnMjzl8cA/edit?usp=share_link"",""ลำพูน!J827"")+IMPORTRANGE(""https://docs.google.com/spreadsheets/d/17HrOaa5pBUI1onckFfumXB8xlg35qb2uBAFfF1D-Myo/edit?usp=shar"&amp;"e_link"",""สุโขทัย!J827"")+IMPORTRANGE(""https://docs.google.com/spreadsheets/d/1ubs5cl16eYL9gHbdHTJtmtYb9MGzHBs7CAphn8kNCgM/edit?usp=share_link"",""อุตรดิตถ์!J827"")+IMPORTRANGE(""https://docs.google.com/spreadsheets/d/1kII0BjS6CtVrBvI8IrytgPdxDrlyQDyigz"&amp;"MsohRtDMs/edit?usp=share_link"",""อุทัยธานี!J827"")
"),24800000)</f>
        <v>24800000</v>
      </c>
      <c r="K827" s="38">
        <f t="shared" ca="1" si="382"/>
        <v>26.084669997370497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KxicF4apzSqm0-jIpmueT4kyZtE-Cwn5zskl7GD4loQ/edit?usp=share_link"",""กำแพงเพชร!I828"")+IMPORTRANGE(""https://docs.google.com/spreadsheets/d/1ZNYWeiFoFA1K1U4xKWqRX29MBvEyRHXORjo734Gnq_c/edit?usp=share_li"&amp;"nk"",""เชียงราย!I828"")
+IMPORTRANGE(""https://docs.google.com/spreadsheets/d/1Jgv0Y7YlHDtsiDawwp-uvifEJ8HVaSn0k2aGHG8-hwM/edit?usp=share_link"",""เชียงใหม่!I828"")+IMPORTRANGE(""https://docs.google.com/spreadsheets/d/1JWG2rZePOz9pe-f-ObA-yDr0VoOX2kSb0qIi"&amp;"x2mTUo8/edit?usp=share_link"",""ตาก!I828"")+IMPORTRANGE(""https://docs.google.com/spreadsheets/d/10nSRjK08hx8Y6HgSOQKNw81lyY46Zc7U_Cj72hBMp9U/edit?usp=share_link"",""นครสวรรค์!I828"")+IMPORTRANGE(""https://docs.google.com/spreadsheets/d/1gFVb7qd7amutrIxAA"&amp;"oM7lcy35hllxznovot8lyOfvDo/edit?usp=share_link"",""น่าน!I828"")+IMPORTRANGE(""https://docs.google.com/spreadsheets/d/1K0Aa9s-6EuHE5M0FG1F9aHLXRCOV917xvycTdLdct0w/edit?usp=share_link"",""พะเยา!I828"")+IMPORTRANGE(""https://docs.google.com/spreadsheets/d/1Y"&amp;"9LPKx95PyL5OKy09d-KbKJSuuEZCFdkhYjwC0XQjBA/edit?usp=share_link"",""พิจิตร!I828"")+IMPORTRANGE(""https://docs.google.com/spreadsheets/d/16OMuOwy2eVqZcYWOouQtTpa8X1L23h4660uVHc0C8os/edit?usp=share_link"",""พิษณุโลก!I828"")+IMPORTRANGE(""https://docs.google."&amp;"com/spreadsheets/d/1GfgTldLG6k77HXaMQzaafODklYuucJZQNs_GAPEfZyY/edit?usp=share_link"",""เพชรบูรณ์!I828"")+IMPORTRANGE(""https://docs.google.com/spreadsheets/d/1gvTMYAnm7v1yG1BKWFtr0DnaTsq59oW9dwWvFgq6hs0/edit?usp=share_link"",""แพร่!I828"")+IMPORTRANGE("""&amp;"https://docs.google.com/spreadsheets/d/1Wbcosgy-Xa1xXUArJSOenub6EfZHUSzc_bpJFWwQUf0/edit?usp=share_link"",""แม่ฮ่องสอน!I828"")+IMPORTRANGE(""https://docs.google.com/spreadsheets/d/1p7ERhsr0qZeSn-KSOdeHS9r0heI-lHtkcn2OH7hP0jQ/edit?usp=share_link"",""ลำปาง!"&amp;"I828"")+IMPORTRANGE(""https://docs.google.com/spreadsheets/d/1-uUXvimVhiU2U0bMN-xi2te0tS4X7DI2GLPnMjzl8cA/edit?usp=share_link"",""ลำพูน!I828"")+IMPORTRANGE(""https://docs.google.com/spreadsheets/d/17HrOaa5pBUI1onckFfumXB8xlg35qb2uBAFfF1D-Myo/edit?usp=shar"&amp;"e_link"",""สุโขทัย!I828"")+IMPORTRANGE(""https://docs.google.com/spreadsheets/d/1ubs5cl16eYL9gHbdHTJtmtYb9MGzHBs7CAphn8kNCgM/edit?usp=share_link"",""อุตรดิตถ์!I828"")+IMPORTRANGE(""https://docs.google.com/spreadsheets/d/1kII0BjS6CtVrBvI8IrytgPdxDrlyQDyigz"&amp;"MsohRtDMs/edit?usp=share_link"",""อุทัยธานี!I828"")
"),3650)</f>
        <v>3650</v>
      </c>
      <c r="J828" s="469">
        <f ca="1">IFERROR(__xludf.DUMMYFUNCTION("IMPORTRANGE(""https://docs.google.com/spreadsheets/d/1KxicF4apzSqm0-jIpmueT4kyZtE-Cwn5zskl7GD4loQ/edit?usp=share_link"",""กำแพงเพชร!J828"")+IMPORTRANGE(""https://docs.google.com/spreadsheets/d/1ZNYWeiFoFA1K1U4xKWqRX29MBvEyRHXORjo734Gnq_c/edit?usp=share_li"&amp;"nk"",""เชียงราย!J828"")
+IMPORTRANGE(""https://docs.google.com/spreadsheets/d/1Jgv0Y7YlHDtsiDawwp-uvifEJ8HVaSn0k2aGHG8-hwM/edit?usp=share_link"",""เชียงใหม่!J828"")+IMPORTRANGE(""https://docs.google.com/spreadsheets/d/1JWG2rZePOz9pe-f-ObA-yDr0VoOX2kSb0qIi"&amp;"x2mTUo8/edit?usp=share_link"",""ตาก!J828"")+IMPORTRANGE(""https://docs.google.com/spreadsheets/d/10nSRjK08hx8Y6HgSOQKNw81lyY46Zc7U_Cj72hBMp9U/edit?usp=share_link"",""นครสวรรค์!J828"")+IMPORTRANGE(""https://docs.google.com/spreadsheets/d/1gFVb7qd7amutrIxAA"&amp;"oM7lcy35hllxznovot8lyOfvDo/edit?usp=share_link"",""น่าน!J828"")+IMPORTRANGE(""https://docs.google.com/spreadsheets/d/1K0Aa9s-6EuHE5M0FG1F9aHLXRCOV917xvycTdLdct0w/edit?usp=share_link"",""พะเยา!J828"")+IMPORTRANGE(""https://docs.google.com/spreadsheets/d/1Y"&amp;"9LPKx95PyL5OKy09d-KbKJSuuEZCFdkhYjwC0XQjBA/edit?usp=share_link"",""พิจิตร!J828"")+IMPORTRANGE(""https://docs.google.com/spreadsheets/d/16OMuOwy2eVqZcYWOouQtTpa8X1L23h4660uVHc0C8os/edit?usp=share_link"",""พิษณุโลก!J828"")+IMPORTRANGE(""https://docs.google."&amp;"com/spreadsheets/d/1GfgTldLG6k77HXaMQzaafODklYuucJZQNs_GAPEfZyY/edit?usp=share_link"",""เพชรบูรณ์!J828"")+IMPORTRANGE(""https://docs.google.com/spreadsheets/d/1gvTMYAnm7v1yG1BKWFtr0DnaTsq59oW9dwWvFgq6hs0/edit?usp=share_link"",""แพร่!J828"")+IMPORTRANGE("""&amp;"https://docs.google.com/spreadsheets/d/1Wbcosgy-Xa1xXUArJSOenub6EfZHUSzc_bpJFWwQUf0/edit?usp=share_link"",""แม่ฮ่องสอน!J828"")+IMPORTRANGE(""https://docs.google.com/spreadsheets/d/1p7ERhsr0qZeSn-KSOdeHS9r0heI-lHtkcn2OH7hP0jQ/edit?usp=share_link"",""ลำปาง!"&amp;"J828"")+IMPORTRANGE(""https://docs.google.com/spreadsheets/d/1-uUXvimVhiU2U0bMN-xi2te0tS4X7DI2GLPnMjzl8cA/edit?usp=share_link"",""ลำพูน!J828"")+IMPORTRANGE(""https://docs.google.com/spreadsheets/d/17HrOaa5pBUI1onckFfumXB8xlg35qb2uBAFfF1D-Myo/edit?usp=shar"&amp;"e_link"",""สุโขทัย!J828"")+IMPORTRANGE(""https://docs.google.com/spreadsheets/d/1ubs5cl16eYL9gHbdHTJtmtYb9MGzHBs7CAphn8kNCgM/edit?usp=share_link"",""อุตรดิตถ์!J828"")+IMPORTRANGE(""https://docs.google.com/spreadsheets/d/1kII0BjS6CtVrBvI8IrytgPdxDrlyQDyigz"&amp;"MsohRtDMs/edit?usp=share_link"",""อุทัยธานี!J828"")
"),681)</f>
        <v>681</v>
      </c>
      <c r="K828" s="470">
        <f t="shared" ca="1" si="382"/>
        <v>18.657534246575342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F807E-9BE5-4980-BC79-C272EF8DB66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4" customWidth="1"/>
    <col min="4" max="6" width="5.85546875" style="804" customWidth="1"/>
    <col min="7" max="7" width="56.42578125" style="804" customWidth="1"/>
    <col min="8" max="8" width="9.42578125" style="804" customWidth="1"/>
    <col min="9" max="9" width="16.85546875" style="804" bestFit="1" customWidth="1"/>
    <col min="10" max="10" width="14.42578125" style="804" bestFit="1" customWidth="1"/>
    <col min="11" max="11" width="12.5703125" style="804" customWidth="1"/>
    <col min="12" max="13" width="22" style="804" bestFit="1" customWidth="1"/>
    <col min="14" max="14" width="21.28515625" style="804" bestFit="1" customWidth="1"/>
    <col min="15" max="16" width="17.5703125" style="804" customWidth="1"/>
    <col min="17" max="16384" width="12.5703125" style="804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344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17832737</v>
      </c>
      <c r="M8" s="22">
        <f t="shared" ca="1" si="0"/>
        <v>14760148</v>
      </c>
      <c r="N8" s="22">
        <f t="shared" ca="1" si="0"/>
        <v>2529185.12</v>
      </c>
      <c r="O8" s="22">
        <f t="shared" ref="O8:O16" ca="1" si="1">IF(L8&gt;0,N8*100/L8,0)</f>
        <v>14.18282073021096</v>
      </c>
      <c r="P8" s="22">
        <f t="shared" ref="P8:P16" ca="1" si="2">IF(M8&gt;0,N8*100/M8,0)</f>
        <v>17.135228725348824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17832737</v>
      </c>
      <c r="M10" s="30">
        <f t="shared" ca="1" si="3"/>
        <v>14760148</v>
      </c>
      <c r="N10" s="30">
        <f t="shared" ca="1" si="3"/>
        <v>2529185.12</v>
      </c>
      <c r="O10" s="30">
        <f t="shared" ca="1" si="1"/>
        <v>14.18282073021096</v>
      </c>
      <c r="P10" s="30">
        <f t="shared" ca="1" si="2"/>
        <v>17.135228725348824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6123937</v>
      </c>
      <c r="M11" s="466">
        <f t="shared" ca="1" si="4"/>
        <v>3051348</v>
      </c>
      <c r="N11" s="466">
        <f t="shared" ca="1" si="4"/>
        <v>2320385.12</v>
      </c>
      <c r="O11" s="466">
        <f t="shared" ca="1" si="1"/>
        <v>37.8904146139975</v>
      </c>
      <c r="P11" s="466">
        <f t="shared" ca="1" si="2"/>
        <v>76.044591439586696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6123937</v>
      </c>
      <c r="M13" s="93">
        <f t="shared" ca="1" si="5"/>
        <v>3051348</v>
      </c>
      <c r="N13" s="93">
        <f t="shared" ca="1" si="5"/>
        <v>2320385.12</v>
      </c>
      <c r="O13" s="93">
        <f t="shared" ca="1" si="1"/>
        <v>37.8904146139975</v>
      </c>
      <c r="P13" s="93">
        <f t="shared" ca="1" si="2"/>
        <v>76.044591439586696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11708800</v>
      </c>
      <c r="M14" s="466">
        <f t="shared" ca="1" si="6"/>
        <v>11708800</v>
      </c>
      <c r="N14" s="466">
        <f t="shared" ca="1" si="6"/>
        <v>208800</v>
      </c>
      <c r="O14" s="466">
        <f t="shared" ca="1" si="1"/>
        <v>1.7832741186116425</v>
      </c>
      <c r="P14" s="466">
        <f t="shared" ca="1" si="2"/>
        <v>1.7832741186116425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11708800</v>
      </c>
      <c r="M16" s="52">
        <f t="shared" ca="1" si="7"/>
        <v>11708800</v>
      </c>
      <c r="N16" s="52">
        <f t="shared" ca="1" si="7"/>
        <v>208800</v>
      </c>
      <c r="O16" s="52">
        <f t="shared" ca="1" si="1"/>
        <v>1.7832741186116425</v>
      </c>
      <c r="P16" s="52">
        <f t="shared" ca="1" si="2"/>
        <v>1.7832741186116425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15589855</v>
      </c>
      <c r="M18" s="22">
        <f t="shared" ca="1" si="8"/>
        <v>14760148</v>
      </c>
      <c r="N18" s="22">
        <f t="shared" ca="1" si="8"/>
        <v>2057140.8</v>
      </c>
      <c r="O18" s="22">
        <f t="shared" ref="O18:O26" ca="1" si="9">IF(L18&gt;0,N18*100/L18,0)</f>
        <v>13.195381227086461</v>
      </c>
      <c r="P18" s="22">
        <f t="shared" ref="P18:P26" ca="1" si="10">IF(M18&gt;0,N18*100/M18,0)</f>
        <v>13.937128543697529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15589855</v>
      </c>
      <c r="M20" s="30">
        <f t="shared" ca="1" si="11"/>
        <v>14760148</v>
      </c>
      <c r="N20" s="30">
        <f t="shared" ca="1" si="11"/>
        <v>2057140.8</v>
      </c>
      <c r="O20" s="30">
        <f t="shared" ca="1" si="9"/>
        <v>13.195381227086461</v>
      </c>
      <c r="P20" s="30">
        <f t="shared" ca="1" si="10"/>
        <v>13.937128543697529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3881055</v>
      </c>
      <c r="M21" s="466">
        <f t="shared" ca="1" si="12"/>
        <v>3051348</v>
      </c>
      <c r="N21" s="466">
        <f t="shared" ca="1" si="12"/>
        <v>1848340.8</v>
      </c>
      <c r="O21" s="466">
        <f t="shared" ca="1" si="9"/>
        <v>47.624699984926778</v>
      </c>
      <c r="P21" s="466">
        <f t="shared" ca="1" si="10"/>
        <v>60.574565732915417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3881055</v>
      </c>
      <c r="M23" s="93">
        <f t="shared" ca="1" si="13"/>
        <v>3051348</v>
      </c>
      <c r="N23" s="93">
        <f t="shared" ca="1" si="13"/>
        <v>1848340.8</v>
      </c>
      <c r="O23" s="93">
        <f t="shared" ca="1" si="9"/>
        <v>47.624699984926778</v>
      </c>
      <c r="P23" s="93">
        <f t="shared" ca="1" si="10"/>
        <v>60.574565732915417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11708800</v>
      </c>
      <c r="M24" s="466">
        <f t="shared" ca="1" si="14"/>
        <v>11708800</v>
      </c>
      <c r="N24" s="466">
        <f t="shared" ca="1" si="14"/>
        <v>208800</v>
      </c>
      <c r="O24" s="466">
        <f t="shared" ca="1" si="9"/>
        <v>1.7832741186116425</v>
      </c>
      <c r="P24" s="466">
        <f t="shared" ca="1" si="10"/>
        <v>1.7832741186116425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11708800</v>
      </c>
      <c r="M26" s="52">
        <f t="shared" ca="1" si="15"/>
        <v>11708800</v>
      </c>
      <c r="N26" s="52">
        <f t="shared" ca="1" si="15"/>
        <v>208800</v>
      </c>
      <c r="O26" s="52">
        <f t="shared" ca="1" si="9"/>
        <v>1.7832741186116425</v>
      </c>
      <c r="P26" s="52">
        <f t="shared" ca="1" si="10"/>
        <v>1.7832741186116425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2242882</v>
      </c>
      <c r="M28" s="22">
        <f t="shared" si="16"/>
        <v>0</v>
      </c>
      <c r="N28" s="22">
        <f t="shared" si="16"/>
        <v>472044.32</v>
      </c>
      <c r="O28" s="22">
        <f t="shared" ref="O28:O37" ca="1" si="17">IF(L28&gt;0,N28*100/L28,0)</f>
        <v>21.046328785910269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2242882</v>
      </c>
      <c r="M30" s="30">
        <f t="shared" si="19"/>
        <v>0</v>
      </c>
      <c r="N30" s="30">
        <f t="shared" si="19"/>
        <v>472044.32</v>
      </c>
      <c r="O30" s="30">
        <f t="shared" ca="1" si="17"/>
        <v>21.046328785910269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2242882</v>
      </c>
      <c r="M31" s="466">
        <f t="shared" si="20"/>
        <v>0</v>
      </c>
      <c r="N31" s="466">
        <f t="shared" si="20"/>
        <v>472044.32</v>
      </c>
      <c r="O31" s="466">
        <f t="shared" ca="1" si="17"/>
        <v>21.046328785910269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2242882</v>
      </c>
      <c r="M33" s="93">
        <f t="shared" si="21"/>
        <v>0</v>
      </c>
      <c r="N33" s="93">
        <f t="shared" si="21"/>
        <v>472044.32</v>
      </c>
      <c r="O33" s="93">
        <f t="shared" ca="1" si="17"/>
        <v>21.046328785910269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15589855</v>
      </c>
      <c r="M37" s="812">
        <f t="shared" ca="1" si="24"/>
        <v>14760148</v>
      </c>
      <c r="N37" s="812">
        <f t="shared" ca="1" si="24"/>
        <v>2057140.8</v>
      </c>
      <c r="O37" s="812">
        <f t="shared" ca="1" si="17"/>
        <v>13.195381227086461</v>
      </c>
      <c r="P37" s="812">
        <f t="shared" ca="1" si="18"/>
        <v>13.937128543697529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443200</v>
      </c>
      <c r="M41" s="85">
        <f t="shared" ca="1" si="25"/>
        <v>454068</v>
      </c>
      <c r="N41" s="85">
        <f t="shared" ca="1" si="25"/>
        <v>223823</v>
      </c>
      <c r="O41" s="85">
        <f t="shared" ref="O41:O49" ca="1" si="26">IF(L41&gt;0,N41*100/L41,0)</f>
        <v>50.501579422382669</v>
      </c>
      <c r="P41" s="85">
        <f t="shared" ref="P41:P49" ca="1" si="27">IF(M41&gt;0,N41*100/M41,0)</f>
        <v>49.292837196190881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443200</v>
      </c>
      <c r="M43" s="92">
        <f t="shared" ca="1" si="28"/>
        <v>454068</v>
      </c>
      <c r="N43" s="92">
        <f t="shared" ca="1" si="28"/>
        <v>223823</v>
      </c>
      <c r="O43" s="92">
        <f t="shared" ca="1" si="26"/>
        <v>50.501579422382669</v>
      </c>
      <c r="P43" s="92">
        <f t="shared" ca="1" si="27"/>
        <v>49.292837196190881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443200</v>
      </c>
      <c r="M44" s="466">
        <f t="shared" ca="1" si="29"/>
        <v>454068</v>
      </c>
      <c r="N44" s="466">
        <f t="shared" ca="1" si="29"/>
        <v>223823</v>
      </c>
      <c r="O44" s="466">
        <f t="shared" ca="1" si="26"/>
        <v>50.501579422382669</v>
      </c>
      <c r="P44" s="466">
        <f t="shared" ca="1" si="27"/>
        <v>49.292837196190881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IFERROR(__xludf.DUMMYFUNCTION("IMPORTRANGE(""https://docs.google.com/spreadsheets/d/1MeEWN-I1oV_STSDYn1IFDPWt_1FKiwhDph83XaGc0o0/edit?usp=sharing"",""งบพรบ!M22"")"),443200)</f>
        <v>443200</v>
      </c>
      <c r="M46" s="93">
        <f ca="1">IFERROR(__xludf.DUMMYFUNCTION("IMPORTRANGE(""https://docs.google.com/spreadsheets/d/1MeEWN-I1oV_STSDYn1IFDPWt_1FKiwhDph83XaGc0o0/edit?usp=sharing"",""งบพรบ!R22"")"),454068)</f>
        <v>454068</v>
      </c>
      <c r="N46" s="93">
        <f ca="1">IFERROR(__xludf.DUMMYFUNCTION("IMPORTRANGE(""https://docs.google.com/spreadsheets/d/1MeEWN-I1oV_STSDYn1IFDPWt_1FKiwhDph83XaGc0o0/edit?usp=sharing"",""งบพรบ!T22"")"),223823)</f>
        <v>223823</v>
      </c>
      <c r="O46" s="93">
        <f t="shared" ca="1" si="26"/>
        <v>50.501579422382669</v>
      </c>
      <c r="P46" s="93">
        <f t="shared" ca="1" si="27"/>
        <v>49.292837196190881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IFERROR(__xludf.DUMMYFUNCTION("IMPORTRANGE(""https://docs.google.com/spreadsheets/d/1MeEWN-I1oV_STSDYn1IFDPWt_1FKiwhDph83XaGc0o0/edit?usp=sharing"",""งบพรบ!P22"")"),0)</f>
        <v>0</v>
      </c>
      <c r="M49" s="52">
        <f ca="1">IFERROR(__xludf.DUMMYFUNCTION("IMPORTRANGE(""https://docs.google.com/spreadsheets/d/1MeEWN-I1oV_STSDYn1IFDPWt_1FKiwhDph83XaGc0o0/edit?usp=sharing"",""งบพรบ!S22"")"),0)</f>
        <v>0</v>
      </c>
      <c r="N49" s="52">
        <f ca="1">IFERROR(__xludf.DUMMYFUNCTION("IMPORTRANGE(""https://docs.google.com/spreadsheets/d/1MeEWN-I1oV_STSDYn1IFDPWt_1FKiwhDph83XaGc0o0/edit?usp=sharing"",""งบพรบ!U22"")"),0)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12540900</v>
      </c>
      <c r="M53" s="116">
        <f t="shared" ca="1" si="31"/>
        <v>12337295</v>
      </c>
      <c r="N53" s="116">
        <f t="shared" ca="1" si="31"/>
        <v>646486.64</v>
      </c>
      <c r="O53" s="116">
        <f t="shared" ref="O53:O61" ca="1" si="32">IF(L53&gt;0,N53*100/L53,0)</f>
        <v>5.1550258753359008</v>
      </c>
      <c r="P53" s="116">
        <f t="shared" ref="P53:P61" ca="1" si="33">IF(M53&gt;0,N53*100/M53,0)</f>
        <v>5.2401003623565785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12540900</v>
      </c>
      <c r="M55" s="123">
        <f t="shared" ca="1" si="34"/>
        <v>12337295</v>
      </c>
      <c r="N55" s="123">
        <f t="shared" ca="1" si="34"/>
        <v>646486.64</v>
      </c>
      <c r="O55" s="123">
        <f t="shared" ca="1" si="32"/>
        <v>5.1550258753359008</v>
      </c>
      <c r="P55" s="123">
        <f t="shared" ca="1" si="33"/>
        <v>5.2401003623565785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1040900</v>
      </c>
      <c r="M56" s="466">
        <f t="shared" ca="1" si="35"/>
        <v>837295</v>
      </c>
      <c r="N56" s="466">
        <f t="shared" ca="1" si="35"/>
        <v>646486.64</v>
      </c>
      <c r="O56" s="466">
        <f t="shared" ca="1" si="32"/>
        <v>62.108429243923531</v>
      </c>
      <c r="P56" s="466">
        <f t="shared" ca="1" si="33"/>
        <v>77.211334117604906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IFERROR(__xludf.DUMMYFUNCTION("IMPORTRANGE(""https://docs.google.com/spreadsheets/d/1MeEWN-I1oV_STSDYn1IFDPWt_1FKiwhDph83XaGc0o0/edit?usp=sharing"",""งบพรบ!W22"")"),1040900)</f>
        <v>1040900</v>
      </c>
      <c r="M58" s="93">
        <f ca="1">IFERROR(__xludf.DUMMYFUNCTION("IMPORTRANGE(""https://docs.google.com/spreadsheets/d/1MeEWN-I1oV_STSDYn1IFDPWt_1FKiwhDph83XaGc0o0/edit?usp=sharing"",""งบพรบ!AB22"")"),837295)</f>
        <v>837295</v>
      </c>
      <c r="N58" s="93">
        <f ca="1">IFERROR(__xludf.DUMMYFUNCTION("IMPORTRANGE(""https://docs.google.com/spreadsheets/d/1MeEWN-I1oV_STSDYn1IFDPWt_1FKiwhDph83XaGc0o0/edit?usp=sharing"",""งบพรบ!AD22"")"),646486.64)</f>
        <v>646486.64</v>
      </c>
      <c r="O58" s="93">
        <f t="shared" ca="1" si="32"/>
        <v>62.108429243923531</v>
      </c>
      <c r="P58" s="93">
        <f t="shared" ca="1" si="33"/>
        <v>77.211334117604906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11500000</v>
      </c>
      <c r="M59" s="466">
        <f t="shared" ca="1" si="36"/>
        <v>11500000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IFERROR(__xludf.DUMMYFUNCTION("IMPORTRANGE(""https://docs.google.com/spreadsheets/d/1MeEWN-I1oV_STSDYn1IFDPWt_1FKiwhDph83XaGc0o0/edit?usp=sharing"",""งบพรบ!Z22"")"),11500000)</f>
        <v>11500000</v>
      </c>
      <c r="M61" s="52">
        <f ca="1">IFERROR(__xludf.DUMMYFUNCTION("IMPORTRANGE(""https://docs.google.com/spreadsheets/d/1MeEWN-I1oV_STSDYn1IFDPWt_1FKiwhDph83XaGc0o0/edit?usp=sharing"",""งบพรบ!AC22"")"),11500000)</f>
        <v>11500000</v>
      </c>
      <c r="N61" s="52">
        <f ca="1">IFERROR(__xludf.DUMMYFUNCTION("IMPORTRANGE(""https://docs.google.com/spreadsheets/d/1MeEWN-I1oV_STSDYn1IFDPWt_1FKiwhDph83XaGc0o0/edit?usp=sharing"",""งบพรบ!AE22"")"),0)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80</v>
      </c>
      <c r="J65" s="144">
        <f t="shared" si="37"/>
        <v>80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1116400</v>
      </c>
      <c r="M66" s="155">
        <f t="shared" ca="1" si="39"/>
        <v>842300</v>
      </c>
      <c r="N66" s="155">
        <f t="shared" ca="1" si="39"/>
        <v>477642.77</v>
      </c>
      <c r="O66" s="155">
        <f t="shared" ref="O66:O74" ca="1" si="40">IF(L66&gt;0,N66*100/L66,0)</f>
        <v>42.784196524543177</v>
      </c>
      <c r="P66" s="155">
        <f t="shared" ref="P66:P74" ca="1" si="41">IF(M66&gt;0,N66*100/M66,0)</f>
        <v>56.706965451739286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1116400</v>
      </c>
      <c r="M68" s="93">
        <f t="shared" ca="1" si="42"/>
        <v>842300</v>
      </c>
      <c r="N68" s="93">
        <f t="shared" ca="1" si="42"/>
        <v>477642.77</v>
      </c>
      <c r="O68" s="93">
        <f t="shared" ca="1" si="40"/>
        <v>42.784196524543177</v>
      </c>
      <c r="P68" s="93">
        <f t="shared" ca="1" si="41"/>
        <v>56.706965451739286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1116400</v>
      </c>
      <c r="M69" s="466">
        <f t="shared" ca="1" si="43"/>
        <v>842300</v>
      </c>
      <c r="N69" s="466">
        <f t="shared" ca="1" si="43"/>
        <v>477642.77</v>
      </c>
      <c r="O69" s="466">
        <f t="shared" ca="1" si="40"/>
        <v>42.784196524543177</v>
      </c>
      <c r="P69" s="466">
        <f t="shared" ca="1" si="41"/>
        <v>56.706965451739286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IFERROR(__xludf.DUMMYFUNCTION("IMPORTRANGE(""https://docs.google.com/spreadsheets/d/1MeEWN-I1oV_STSDYn1IFDPWt_1FKiwhDph83XaGc0o0/edit?usp=sharing"",""งบพรบ!AG22"")"),1116400)</f>
        <v>1116400</v>
      </c>
      <c r="M71" s="93">
        <f ca="1">IFERROR(__xludf.DUMMYFUNCTION("IMPORTRANGE(""https://docs.google.com/spreadsheets/d/1MeEWN-I1oV_STSDYn1IFDPWt_1FKiwhDph83XaGc0o0/edit?usp=sharing"",""งบพรบ!AL22"")"),842300)</f>
        <v>842300</v>
      </c>
      <c r="N71" s="93">
        <f ca="1">IFERROR(__xludf.DUMMYFUNCTION("IMPORTRANGE(""https://docs.google.com/spreadsheets/d/1MeEWN-I1oV_STSDYn1IFDPWt_1FKiwhDph83XaGc0o0/edit?usp=sharing"",""งบพรบ!AN22"")"),477642.77)</f>
        <v>477642.77</v>
      </c>
      <c r="O71" s="93">
        <f t="shared" ca="1" si="40"/>
        <v>42.784196524543177</v>
      </c>
      <c r="P71" s="93">
        <f t="shared" ca="1" si="41"/>
        <v>56.706965451739286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IFERROR(__xludf.DUMMYFUNCTION("IMPORTRANGE(""https://docs.google.com/spreadsheets/d/1MeEWN-I1oV_STSDYn1IFDPWt_1FKiwhDph83XaGc0o0/edit?usp=sharing"",""งบพรบ!AJ22"")"),0)</f>
        <v>0</v>
      </c>
      <c r="M74" s="93">
        <f ca="1">IFERROR(__xludf.DUMMYFUNCTION("IMPORTRANGE(""https://docs.google.com/spreadsheets/d/1MeEWN-I1oV_STSDYn1IFDPWt_1FKiwhDph83XaGc0o0/edit?usp=sharing"",""งบพรบ!AM22"")"),0)</f>
        <v>0</v>
      </c>
      <c r="N74" s="93">
        <f ca="1">IFERROR(__xludf.DUMMYFUNCTION("IMPORTRANGE(""https://docs.google.com/spreadsheets/d/1MeEWN-I1oV_STSDYn1IFDPWt_1FKiwhDph83XaGc0o0/edit?usp=sharing"",""งบพรบ!AO22"")"),0)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80</v>
      </c>
      <c r="J77" s="270">
        <f t="shared" si="45"/>
        <v>80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IFERROR(__xludf.DUMMYFUNCTION("IMPORTRANGE(""https://docs.google.com/spreadsheets/d/1QqKyyYR6Q21VydFLVH3TRQUabQu_ym0Zz7PgGX0-kHA/edit?usp=sharing"",""แผน!H22"")"),2)</f>
        <v>2</v>
      </c>
      <c r="J78" s="215">
        <v>2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IFERROR(__xludf.DUMMYFUNCTION("IMPORTRANGE(""https://docs.google.com/spreadsheets/d/1QqKyyYR6Q21VydFLVH3TRQUabQu_ym0Zz7PgGX0-kHA/edit?usp=sharing"",""แผน!I22"")"),80)</f>
        <v>80</v>
      </c>
      <c r="J79" s="215">
        <v>80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IFERROR(__xludf.DUMMYFUNCTION("IMPORTRANGE(""https://docs.google.com/spreadsheets/d/1QqKyyYR6Q21VydFLVH3TRQUabQu_ym0Zz7PgGX0-kHA/edit?usp=sharing"",""แผน!F22"")"),0)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IFERROR(__xludf.DUMMYFUNCTION("IMPORTRANGE(""https://docs.google.com/spreadsheets/d/1QqKyyYR6Q21VydFLVH3TRQUabQu_ym0Zz7PgGX0-kHA/edit?usp=sharing"",""แผน!G22"")"),0)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IFERROR(__xludf.DUMMYFUNCTION("IMPORTRANGE(""https://docs.google.com/spreadsheets/d/1QqKyyYR6Q21VydFLVH3TRQUabQu_ym0Zz7PgGX0-kHA/edit?usp=sharing"",""แผน!D22"")"),0)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IFERROR(__xludf.DUMMYFUNCTION("IMPORTRANGE(""https://docs.google.com/spreadsheets/d/1QqKyyYR6Q21VydFLVH3TRQUabQu_ym0Zz7PgGX0-kHA/edit?usp=sharing"",""แผน!E22"")"),0)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IFERROR(__xludf.DUMMYFUNCTION("IMPORTRANGE(""https://docs.google.com/spreadsheets/d/1QqKyyYR6Q21VydFLVH3TRQUabQu_ym0Zz7PgGX0-kHA/edit?usp=sharing"",""แผน!J22"")"),2)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120</v>
      </c>
      <c r="J86" s="144">
        <f t="shared" si="47"/>
        <v>120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40</v>
      </c>
      <c r="J87" s="144">
        <f t="shared" si="47"/>
        <v>40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447560</v>
      </c>
      <c r="M88" s="155">
        <f t="shared" ca="1" si="49"/>
        <v>326110</v>
      </c>
      <c r="N88" s="155">
        <f t="shared" ca="1" si="49"/>
        <v>173486.68</v>
      </c>
      <c r="O88" s="155">
        <f t="shared" ref="O88:O96" ca="1" si="50">IF(L88&gt;0,N88*100/L88,0)</f>
        <v>38.762775940655999</v>
      </c>
      <c r="P88" s="155">
        <f t="shared" ref="P88:P96" ca="1" si="51">IF(M88&gt;0,N88*100/M88,0)</f>
        <v>53.198822483211188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447560</v>
      </c>
      <c r="M90" s="93">
        <f t="shared" ca="1" si="52"/>
        <v>326110</v>
      </c>
      <c r="N90" s="93">
        <f t="shared" ca="1" si="52"/>
        <v>173486.68</v>
      </c>
      <c r="O90" s="93">
        <f t="shared" ca="1" si="50"/>
        <v>38.762775940655999</v>
      </c>
      <c r="P90" s="93">
        <f t="shared" ca="1" si="51"/>
        <v>53.198822483211188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447560</v>
      </c>
      <c r="M91" s="466">
        <f t="shared" ca="1" si="53"/>
        <v>326110</v>
      </c>
      <c r="N91" s="466">
        <f t="shared" ca="1" si="53"/>
        <v>173486.68</v>
      </c>
      <c r="O91" s="466">
        <f t="shared" ca="1" si="50"/>
        <v>38.762775940655999</v>
      </c>
      <c r="P91" s="466">
        <f t="shared" ca="1" si="51"/>
        <v>53.198822483211188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IFERROR(__xludf.DUMMYFUNCTION("IMPORTRANGE(""https://docs.google.com/spreadsheets/d/1MeEWN-I1oV_STSDYn1IFDPWt_1FKiwhDph83XaGc0o0/edit?usp=sharing"",""งบพรบ!AQ22"")"),447560)</f>
        <v>447560</v>
      </c>
      <c r="M93" s="93">
        <f ca="1">IFERROR(__xludf.DUMMYFUNCTION("IMPORTRANGE(""https://docs.google.com/spreadsheets/d/1MeEWN-I1oV_STSDYn1IFDPWt_1FKiwhDph83XaGc0o0/edit?usp=sharing"",""งบพรบ!AV22"")"),326110)</f>
        <v>326110</v>
      </c>
      <c r="N93" s="93">
        <f ca="1">IFERROR(__xludf.DUMMYFUNCTION("IMPORTRANGE(""https://docs.google.com/spreadsheets/d/1MeEWN-I1oV_STSDYn1IFDPWt_1FKiwhDph83XaGc0o0/edit?usp=sharing"",""งบพรบ!AX22"")"),173486.68)</f>
        <v>173486.68</v>
      </c>
      <c r="O93" s="93">
        <f t="shared" ca="1" si="50"/>
        <v>38.762775940655999</v>
      </c>
      <c r="P93" s="93">
        <f t="shared" ca="1" si="51"/>
        <v>53.198822483211188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IFERROR(__xludf.DUMMYFUNCTION("IMPORTRANGE(""https://docs.google.com/spreadsheets/d/1MeEWN-I1oV_STSDYn1IFDPWt_1FKiwhDph83XaGc0o0/edit?usp=sharing"",""งบพรบ!AT22"")"),0)</f>
        <v>0</v>
      </c>
      <c r="M96" s="93">
        <f ca="1">IFERROR(__xludf.DUMMYFUNCTION("IMPORTRANGE(""https://docs.google.com/spreadsheets/d/1MeEWN-I1oV_STSDYn1IFDPWt_1FKiwhDph83XaGc0o0/edit?usp=sharing"",""งบพรบ!AW22"")"),0)</f>
        <v>0</v>
      </c>
      <c r="N96" s="93">
        <f ca="1">IFERROR(__xludf.DUMMYFUNCTION("IMPORTRANGE(""https://docs.google.com/spreadsheets/d/1MeEWN-I1oV_STSDYn1IFDPWt_1FKiwhDph83XaGc0o0/edit?usp=sharing"",""งบพรบ!AY22"")"),0)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IFERROR(__xludf.DUMMYFUNCTION("IMPORTRANGE(""https://docs.google.com/spreadsheets/d/1QqKyyYR6Q21VydFLVH3TRQUabQu_ym0Zz7PgGX0-kHA/edit?usp=sharing"",""แผน!K22"")"),120)</f>
        <v>120</v>
      </c>
      <c r="J98" s="270">
        <f>J102</f>
        <v>120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IFERROR(__xludf.DUMMYFUNCTION("IMPORTRANGE(""https://docs.google.com/spreadsheets/d/1QqKyyYR6Q21VydFLVH3TRQUabQu_ym0Zz7PgGX0-kHA/edit?usp=sharing"",""แผน!L22"")"),40)</f>
        <v>40</v>
      </c>
      <c r="J99" s="270">
        <f>J104</f>
        <v>40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IFERROR(__xludf.DUMMYFUNCTION("IMPORTRANGE(""https://docs.google.com/spreadsheets/d/1QqKyyYR6Q21VydFLVH3TRQUabQu_ym0Zz7PgGX0-kHA/edit?usp=sharing"",""แผน!M22"")"),2)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IFERROR(__xludf.DUMMYFUNCTION("IMPORTRANGE(""https://docs.google.com/spreadsheets/d/1QqKyyYR6Q21VydFLVH3TRQUabQu_ym0Zz7PgGX0-kHA/edit?usp=sharing"",""แผน!N22"")"),120)</f>
        <v>120</v>
      </c>
      <c r="J102" s="215">
        <v>120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IFERROR(__xludf.DUMMYFUNCTION("IMPORTRANGE(""https://docs.google.com/spreadsheets/d/1QqKyyYR6Q21VydFLVH3TRQUabQu_ym0Zz7PgGX0-kHA/edit?usp=sharing"",""แผน!O22"")"),40)</f>
        <v>40</v>
      </c>
      <c r="J103" s="215">
        <v>40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IFERROR(__xludf.DUMMYFUNCTION("IMPORTRANGE(""https://docs.google.com/spreadsheets/d/1QqKyyYR6Q21VydFLVH3TRQUabQu_ym0Zz7PgGX0-kHA/edit?usp=sharing"",""แผน!O22"")"),40)</f>
        <v>40</v>
      </c>
      <c r="J104" s="215">
        <v>40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IFERROR(__xludf.DUMMYFUNCTION("IMPORTRANGE(""https://docs.google.com/spreadsheets/d/1QqKyyYR6Q21VydFLVH3TRQUabQu_ym0Zz7PgGX0-kHA/edit?usp=sharing"",""แผน!P22"")"),1)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IFERROR(__xludf.DUMMYFUNCTION("IMPORTRANGE(""https://docs.google.com/spreadsheets/d/1QqKyyYR6Q21VydFLVH3TRQUabQu_ym0Zz7PgGX0-kHA/edit?usp=sharing"",""แผน!P22"")"),1)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IFERROR(__xludf.DUMMYFUNCTION("IMPORTRANGE(""https://docs.google.com/spreadsheets/d/1QqKyyYR6Q21VydFLVH3TRQUabQu_ym0Zz7PgGX0-kHA/edit?usp=sharing"",""แผน!Q22"")"),1)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IFERROR(__xludf.DUMMYFUNCTION("IMPORTRANGE(""https://docs.google.com/spreadsheets/d/1QqKyyYR6Q21VydFLVH3TRQUabQu_ym0Zz7PgGX0-kHA/edit?usp=sharing"",""แผน!Q22"")"),1)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IFERROR(__xludf.DUMMYFUNCTION("IMPORTRANGE(""https://docs.google.com/spreadsheets/d/1QqKyyYR6Q21VydFLVH3TRQUabQu_ym0Zz7PgGX0-kHA/edit?usp=sharing"",""แผน!R22"")"),40)</f>
        <v>40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IFERROR(__xludf.DUMMYFUNCTION("IMPORTRANGE(""https://docs.google.com/spreadsheets/d/1QqKyyYR6Q21VydFLVH3TRQUabQu_ym0Zz7PgGX0-kHA/edit?usp=sharing"",""แผน!R22"")"),40)</f>
        <v>40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IFERROR(__xludf.DUMMYFUNCTION("IMPORTRANGE(""https://docs.google.com/spreadsheets/d/1QqKyyYR6Q21VydFLVH3TRQUabQu_ym0Zz7PgGX0-kHA/edit?usp=sharing"",""แผน!R22"")"),40)</f>
        <v>40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IFERROR(__xludf.DUMMYFUNCTION("IMPORTRANGE(""https://docs.google.com/spreadsheets/d/1QqKyyYR6Q21VydFLVH3TRQUabQu_ym0Zz7PgGX0-kHA/edit?usp=sharing"",""แผน!S22"")"),1)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IFERROR(__xludf.DUMMYFUNCTION("IMPORTRANGE(""https://docs.google.com/spreadsheets/d/1QqKyyYR6Q21VydFLVH3TRQUabQu_ym0Zz7PgGX0-kHA/edit?usp=sharing"",""แผน!T22"")"),1)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IFERROR(__xludf.DUMMYFUNCTION("IMPORTRANGE(""https://docs.google.com/spreadsheets/d/1MeEWN-I1oV_STSDYn1IFDPWt_1FKiwhDph83XaGc0o0/edit?usp=sharing"",""งบพรบ!BA22"")"),0)</f>
        <v>0</v>
      </c>
      <c r="M124" s="93">
        <f ca="1">IFERROR(__xludf.DUMMYFUNCTION("IMPORTRANGE(""https://docs.google.com/spreadsheets/d/1MeEWN-I1oV_STSDYn1IFDPWt_1FKiwhDph83XaGc0o0/edit?usp=sharing"",""งบพรบ!BF22"")"),0)</f>
        <v>0</v>
      </c>
      <c r="N124" s="93">
        <f ca="1">IFERROR(__xludf.DUMMYFUNCTION("IMPORTRANGE(""https://docs.google.com/spreadsheets/d/1MeEWN-I1oV_STSDYn1IFDPWt_1FKiwhDph83XaGc0o0/edit?usp=sharing"",""งบพรบ!BH22"")"),0)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IFERROR(__xludf.DUMMYFUNCTION("IMPORTRANGE(""https://docs.google.com/spreadsheets/d/1MeEWN-I1oV_STSDYn1IFDPWt_1FKiwhDph83XaGc0o0/edit?usp=sharing"",""งบพรบ!BD22"")"),0)</f>
        <v>0</v>
      </c>
      <c r="M127" s="93">
        <f ca="1">IFERROR(__xludf.DUMMYFUNCTION("IMPORTRANGE(""https://docs.google.com/spreadsheets/d/1MeEWN-I1oV_STSDYn1IFDPWt_1FKiwhDph83XaGc0o0/edit?usp=sharing"",""งบพรบ!BG22"")"),0)</f>
        <v>0</v>
      </c>
      <c r="N127" s="93">
        <f ca="1">IFERROR(__xludf.DUMMYFUNCTION("IMPORTRANGE(""https://docs.google.com/spreadsheets/d/1MeEWN-I1oV_STSDYn1IFDPWt_1FKiwhDph83XaGc0o0/edit?usp=sharing"",""งบพรบ!BI22"")"),0)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IFERROR(__xludf.DUMMYFUNCTION("IMPORTRANGE(""https://docs.google.com/spreadsheets/d/1MeEWN-I1oV_STSDYn1IFDPWt_1FKiwhDph83XaGc0o0/edit?usp=sharing"",""งบพรบ!BK22"")"),0)</f>
        <v>0</v>
      </c>
      <c r="M137" s="93">
        <f ca="1">IFERROR(__xludf.DUMMYFUNCTION("IMPORTRANGE(""https://docs.google.com/spreadsheets/d/1MeEWN-I1oV_STSDYn1IFDPWt_1FKiwhDph83XaGc0o0/edit?usp=sharing"",""งบพรบ!BP22"")"),0)</f>
        <v>0</v>
      </c>
      <c r="N137" s="93">
        <f ca="1">IFERROR(__xludf.DUMMYFUNCTION("IMPORTRANGE(""https://docs.google.com/spreadsheets/d/1MeEWN-I1oV_STSDYn1IFDPWt_1FKiwhDph83XaGc0o0/edit?usp=sharing"",""งบพรบ!BR22"")"),0)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IFERROR(__xludf.DUMMYFUNCTION("IMPORTRANGE(""https://docs.google.com/spreadsheets/d/1MeEWN-I1oV_STSDYn1IFDPWt_1FKiwhDph83XaGc0o0/edit?usp=sharing"",""งบพรบ!BN22"")"),0)</f>
        <v>0</v>
      </c>
      <c r="M140" s="93">
        <f ca="1">IFERROR(__xludf.DUMMYFUNCTION("IMPORTRANGE(""https://docs.google.com/spreadsheets/d/1MeEWN-I1oV_STSDYn1IFDPWt_1FKiwhDph83XaGc0o0/edit?usp=sharing"",""งบพรบ!BQ22"")"),0)</f>
        <v>0</v>
      </c>
      <c r="N140" s="93">
        <f ca="1">IFERROR(__xludf.DUMMYFUNCTION("IMPORTRANGE(""https://docs.google.com/spreadsheets/d/1MeEWN-I1oV_STSDYn1IFDPWt_1FKiwhDph83XaGc0o0/edit?usp=sharing"",""งบพรบ!BS22"")"),0)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IFERROR(__xludf.DUMMYFUNCTION("IMPORTRANGE(""https://docs.google.com/spreadsheets/d/1QqKyyYR6Q21VydFLVH3TRQUabQu_ym0Zz7PgGX0-kHA/edit?usp=sharing"",""แผน!U22"")"),0)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IFERROR(__xludf.DUMMYFUNCTION("IMPORTRANGE(""https://docs.google.com/spreadsheets/d/1QqKyyYR6Q21VydFLVH3TRQUabQu_ym0Zz7PgGX0-kHA/edit?usp=sharing"",""แผน!V22"")"),0)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IFERROR(__xludf.DUMMYFUNCTION("IMPORTRANGE(""https://docs.google.com/spreadsheets/d/1QqKyyYR6Q21VydFLVH3TRQUabQu_ym0Zz7PgGX0-kHA/edit?usp=sharing"",""แผน!W22"")"),0)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1360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0</v>
      </c>
      <c r="M151" s="93">
        <f t="shared" ca="1" si="80"/>
        <v>1360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1360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IFERROR(__xludf.DUMMYFUNCTION("IMPORTRANGE(""https://docs.google.com/spreadsheets/d/1MeEWN-I1oV_STSDYn1IFDPWt_1FKiwhDph83XaGc0o0/edit?usp=sharing"",""งบพรบ!BU22"")"),0)</f>
        <v>0</v>
      </c>
      <c r="M154" s="93">
        <f ca="1">IFERROR(__xludf.DUMMYFUNCTION("IMPORTRANGE(""https://docs.google.com/spreadsheets/d/1MeEWN-I1oV_STSDYn1IFDPWt_1FKiwhDph83XaGc0o0/edit?usp=sharing"",""งบพรบ!BZ22"")"),1360)</f>
        <v>1360</v>
      </c>
      <c r="N154" s="93">
        <f ca="1">IFERROR(__xludf.DUMMYFUNCTION("IMPORTRANGE(""https://docs.google.com/spreadsheets/d/1MeEWN-I1oV_STSDYn1IFDPWt_1FKiwhDph83XaGc0o0/edit?usp=sharing"",""งบพรบ!CB22"")"),0)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IFERROR(__xludf.DUMMYFUNCTION("IMPORTRANGE(""https://docs.google.com/spreadsheets/d/1MeEWN-I1oV_STSDYn1IFDPWt_1FKiwhDph83XaGc0o0/edit?usp=sharing"",""งบพรบ!BX22"")"),0)</f>
        <v>0</v>
      </c>
      <c r="M157" s="93">
        <f ca="1">IFERROR(__xludf.DUMMYFUNCTION("IMPORTRANGE(""https://docs.google.com/spreadsheets/d/1MeEWN-I1oV_STSDYn1IFDPWt_1FKiwhDph83XaGc0o0/edit?usp=sharing"",""งบพรบ!CA22"")"),0)</f>
        <v>0</v>
      </c>
      <c r="N157" s="93">
        <f ca="1">IFERROR(__xludf.DUMMYFUNCTION("IMPORTRANGE(""https://docs.google.com/spreadsheets/d/1MeEWN-I1oV_STSDYn1IFDPWt_1FKiwhDph83XaGc0o0/edit?usp=sharing"",""งบพรบ!CC22"")"),0)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IFERROR(__xludf.DUMMYFUNCTION("IMPORTRANGE(""https://docs.google.com/spreadsheets/d/1QqKyyYR6Q21VydFLVH3TRQUabQu_ym0Zz7PgGX0-kHA/edit?usp=sharing"",""แผน!X22"")"),0)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33855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33855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33855</v>
      </c>
      <c r="N168" s="466">
        <f t="shared" ca="1" si="88"/>
        <v>0</v>
      </c>
      <c r="O168" s="466">
        <f t="shared" ca="1" si="85"/>
        <v>0</v>
      </c>
      <c r="P168" s="46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IFERROR(__xludf.DUMMYFUNCTION("IMPORTRANGE(""https://docs.google.com/spreadsheets/d/1MeEWN-I1oV_STSDYn1IFDPWt_1FKiwhDph83XaGc0o0/edit?usp=sharing"",""งบพรบ!CE22"")"),22055)</f>
        <v>22055</v>
      </c>
      <c r="M170" s="93">
        <f ca="1">IFERROR(__xludf.DUMMYFUNCTION("IMPORTRANGE(""https://docs.google.com/spreadsheets/d/1MeEWN-I1oV_STSDYn1IFDPWt_1FKiwhDph83XaGc0o0/edit?usp=sharing"",""งบพรบ!CJ22"")"),33855)</f>
        <v>33855</v>
      </c>
      <c r="N170" s="93">
        <f ca="1">IFERROR(__xludf.DUMMYFUNCTION("IMPORTRANGE(""https://docs.google.com/spreadsheets/d/1MeEWN-I1oV_STSDYn1IFDPWt_1FKiwhDph83XaGc0o0/edit?usp=sharing"",""งบพรบ!CL22"")"),0)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IFERROR(__xludf.DUMMYFUNCTION("IMPORTRANGE(""https://docs.google.com/spreadsheets/d/1MeEWN-I1oV_STSDYn1IFDPWt_1FKiwhDph83XaGc0o0/edit?usp=sharing"",""งบพรบ!CH22"")"),0)</f>
        <v>0</v>
      </c>
      <c r="M173" s="93">
        <f ca="1">IFERROR(__xludf.DUMMYFUNCTION("IMPORTRANGE(""https://docs.google.com/spreadsheets/d/1MeEWN-I1oV_STSDYn1IFDPWt_1FKiwhDph83XaGc0o0/edit?usp=sharing"",""งบพรบ!CK22"")"),0)</f>
        <v>0</v>
      </c>
      <c r="N173" s="93">
        <f ca="1">IFERROR(__xludf.DUMMYFUNCTION("IMPORTRANGE(""https://docs.google.com/spreadsheets/d/1MeEWN-I1oV_STSDYn1IFDPWt_1FKiwhDph83XaGc0o0/edit?usp=sharing"",""งบพรบ!CM22"")"),0)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IFERROR(__xludf.DUMMYFUNCTION("IMPORTRANGE(""https://docs.google.com/spreadsheets/d/1QqKyyYR6Q21VydFLVH3TRQUabQu_ym0Zz7PgGX0-kHA/edit?usp=sharing"",""แผน!Y22"")"),11)</f>
        <v>11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73500</v>
      </c>
      <c r="M181" s="155">
        <f t="shared" ca="1" si="92"/>
        <v>58500</v>
      </c>
      <c r="N181" s="155">
        <f t="shared" ca="1" si="92"/>
        <v>25980</v>
      </c>
      <c r="O181" s="155">
        <f t="shared" ref="O181:O189" ca="1" si="93">IF(L181&gt;0,N181*100/L181,0)</f>
        <v>35.346938775510203</v>
      </c>
      <c r="P181" s="155">
        <f t="shared" ref="P181:P189" ca="1" si="94">IF(M181&gt;0,N181*100/M181,0)</f>
        <v>44.410256410256409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73500</v>
      </c>
      <c r="M183" s="93">
        <f t="shared" ca="1" si="95"/>
        <v>58500</v>
      </c>
      <c r="N183" s="93">
        <f t="shared" ca="1" si="95"/>
        <v>25980</v>
      </c>
      <c r="O183" s="93">
        <f t="shared" ca="1" si="93"/>
        <v>35.346938775510203</v>
      </c>
      <c r="P183" s="93">
        <f t="shared" ca="1" si="94"/>
        <v>44.410256410256409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6">L185+L186</f>
        <v>73500</v>
      </c>
      <c r="M184" s="466">
        <f t="shared" ca="1" si="96"/>
        <v>58500</v>
      </c>
      <c r="N184" s="466">
        <f t="shared" ca="1" si="96"/>
        <v>25980</v>
      </c>
      <c r="O184" s="466">
        <f t="shared" ca="1" si="93"/>
        <v>35.346938775510203</v>
      </c>
      <c r="P184" s="466">
        <f t="shared" ca="1" si="94"/>
        <v>44.410256410256409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IFERROR(__xludf.DUMMYFUNCTION("IMPORTRANGE(""https://docs.google.com/spreadsheets/d/1MeEWN-I1oV_STSDYn1IFDPWt_1FKiwhDph83XaGc0o0/edit?usp=sharing"",""งบพรบ!CO22"")"),73500)</f>
        <v>73500</v>
      </c>
      <c r="M186" s="93">
        <f ca="1">IFERROR(__xludf.DUMMYFUNCTION("IMPORTRANGE(""https://docs.google.com/spreadsheets/d/1MeEWN-I1oV_STSDYn1IFDPWt_1FKiwhDph83XaGc0o0/edit?usp=sharing"",""งบพรบ!CT22"")"),58500)</f>
        <v>58500</v>
      </c>
      <c r="N186" s="93">
        <f ca="1">IFERROR(__xludf.DUMMYFUNCTION("IMPORTRANGE(""https://docs.google.com/spreadsheets/d/1MeEWN-I1oV_STSDYn1IFDPWt_1FKiwhDph83XaGc0o0/edit?usp=sharing"",""งบพรบ!CV22"")"),25980)</f>
        <v>25980</v>
      </c>
      <c r="O186" s="93">
        <f t="shared" ca="1" si="93"/>
        <v>35.346938775510203</v>
      </c>
      <c r="P186" s="93">
        <f t="shared" ca="1" si="94"/>
        <v>44.410256410256409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IFERROR(__xludf.DUMMYFUNCTION("IMPORTRANGE(""https://docs.google.com/spreadsheets/d/1MeEWN-I1oV_STSDYn1IFDPWt_1FKiwhDph83XaGc0o0/edit?usp=sharing"",""งบพรบ!CR22"")"),0)</f>
        <v>0</v>
      </c>
      <c r="M189" s="93">
        <f ca="1">IFERROR(__xludf.DUMMYFUNCTION("IMPORTRANGE(""https://docs.google.com/spreadsheets/d/1MeEWN-I1oV_STSDYn1IFDPWt_1FKiwhDph83XaGc0o0/edit?usp=sharing"",""งบพรบ!CU22"")"),0)</f>
        <v>0</v>
      </c>
      <c r="N189" s="93">
        <f ca="1">IFERROR(__xludf.DUMMYFUNCTION("IMPORTRANGE(""https://docs.google.com/spreadsheets/d/1MeEWN-I1oV_STSDYn1IFDPWt_1FKiwhDph83XaGc0o0/edit?usp=sharing"",""งบพรบ!CW22"")"),0)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IFERROR(__xludf.DUMMYFUNCTION("IMPORTRANGE(""https://docs.google.com/spreadsheets/d/1QqKyyYR6Q21VydFLVH3TRQUabQu_ym0Zz7PgGX0-kHA/edit?usp=sharing"",""แผน!Z22"")"),6000)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IFERROR(__xludf.DUMMYFUNCTION("IMPORTRANGE(""https://docs.google.com/spreadsheets/d/1QqKyyYR6Q21VydFLVH3TRQUabQu_ym0Zz7PgGX0-kHA/edit?usp=sharing"",""แผน!AC22"")"),4)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221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221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22980</v>
      </c>
      <c r="O198" s="155">
        <f ca="1">IF(L198&gt;0,N198*100/L198,0)</f>
        <v>58.92307692307692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IFERROR(__xludf.DUMMYFUNCTION("IMPORTRANGE(""https://docs.google.com/spreadsheets/d/1QqKyyYR6Q21VydFLVH3TRQUabQu_ym0Zz7PgGX0-kHA/edit?usp=sharing"",""แผน!AE22"")"),3000)</f>
        <v>3000</v>
      </c>
      <c r="M199" s="466"/>
      <c r="N199" s="801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IFERROR(__xludf.DUMMYFUNCTION("IMPORTRANGE(""https://docs.google.com/spreadsheets/d/1QqKyyYR6Q21VydFLVH3TRQUabQu_ym0Zz7PgGX0-kHA/edit?usp=sharing"",""แผน!AF22"")"),24000)</f>
        <v>24000</v>
      </c>
      <c r="M200" s="466"/>
      <c r="N200" s="801">
        <v>22980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IFERROR(__xludf.DUMMYFUNCTION("IMPORTRANGE(""https://docs.google.com/spreadsheets/d/1QqKyyYR6Q21VydFLVH3TRQUabQu_ym0Zz7PgGX0-kHA/edit?usp=sharing"",""แผน!AG22"")"),12000)</f>
        <v>12000</v>
      </c>
      <c r="M201" s="466"/>
      <c r="N201" s="801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IFERROR(__xludf.DUMMYFUNCTION("IMPORTRANGE(""https://docs.google.com/spreadsheets/d/1QqKyyYR6Q21VydFLVH3TRQUabQu_ym0Zz7PgGX0-kHA/edit?usp=sharing"",""แผน!AH22"")"),0)</f>
        <v>0</v>
      </c>
      <c r="M202" s="466"/>
      <c r="N202" s="801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IFERROR(__xludf.DUMMYFUNCTION("IMPORTRANGE(""https://docs.google.com/spreadsheets/d/1QqKyyYR6Q21VydFLVH3TRQUabQu_ym0Zz7PgGX0-kHA/edit?usp=sharing"",""แผน!AI22"")"),3)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IFERROR(__xludf.DUMMYFUNCTION("IMPORTRANGE(""https://docs.google.com/spreadsheets/d/1QqKyyYR6Q21VydFLVH3TRQUabQu_ym0Zz7PgGX0-kHA/edit?usp=sharing"",""แผน!AK22"")"),0)</f>
        <v>0</v>
      </c>
      <c r="M210" s="466"/>
      <c r="N210" s="801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IFERROR(__xludf.DUMMYFUNCTION("IMPORTRANGE(""https://docs.google.com/spreadsheets/d/1QqKyyYR6Q21VydFLVH3TRQUabQu_ym0Zz7PgGX0-kHA/edit?usp=sharing"",""แผน!AL22"")"),0)</f>
        <v>0</v>
      </c>
      <c r="M211" s="466"/>
      <c r="N211" s="801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IFERROR(__xludf.DUMMYFUNCTION("IMPORTRANGE(""https://docs.google.com/spreadsheets/d/1QqKyyYR6Q21VydFLVH3TRQUabQu_ym0Zz7PgGX0-kHA/edit?usp=sharing"",""แผน!AM22"")"),0)</f>
        <v>0</v>
      </c>
      <c r="M212" s="466"/>
      <c r="N212" s="801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IFERROR(__xludf.DUMMYFUNCTION("IMPORTRANGE(""https://docs.google.com/spreadsheets/d/1QqKyyYR6Q21VydFLVH3TRQUabQu_ym0Zz7PgGX0-kHA/edit?usp=sharing"",""แผน!AN22"")"),0)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IFERROR(__xludf.DUMMYFUNCTION("IMPORTRANGE(""https://docs.google.com/spreadsheets/d/1QqKyyYR6Q21VydFLVH3TRQUabQu_ym0Zz7PgGX0-kHA/edit?usp=sharing"",""แผน!AN22"")"),0)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28500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IFERROR(__xludf.DUMMYFUNCTION("IMPORTRANGE(""https://docs.google.com/spreadsheets/d/1QqKyyYR6Q21VydFLVH3TRQUabQu_ym0Zz7PgGX0-kHA/edit?usp=sharing"",""แผน!AP22"")"),5000)</f>
        <v>5000</v>
      </c>
      <c r="M218" s="466"/>
      <c r="N218" s="801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IFERROR(__xludf.DUMMYFUNCTION("IMPORTRANGE(""https://docs.google.com/spreadsheets/d/1QqKyyYR6Q21VydFLVH3TRQUabQu_ym0Zz7PgGX0-kHA/edit?usp=sharing"",""แผน!AQ22"")"),13500)</f>
        <v>13500</v>
      </c>
      <c r="M219" s="466"/>
      <c r="N219" s="801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IFERROR(__xludf.DUMMYFUNCTION("IMPORTRANGE(""https://docs.google.com/spreadsheets/d/1QqKyyYR6Q21VydFLVH3TRQUabQu_ym0Zz7PgGX0-kHA/edit?usp=sharing"",""แผน!AR22"")"),10000)</f>
        <v>10000</v>
      </c>
      <c r="M220" s="466"/>
      <c r="N220" s="801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IFERROR(__xludf.DUMMYFUNCTION("IMPORTRANGE(""https://docs.google.com/spreadsheets/d/1QqKyyYR6Q21VydFLVH3TRQUabQu_ym0Zz7PgGX0-kHA/edit?usp=sharing"",""แผน!AT22"")"),50000)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IFERROR(__xludf.DUMMYFUNCTION("IMPORTRANGE(""https://docs.google.com/spreadsheets/d/1QqKyyYR6Q21VydFLVH3TRQUabQu_ym0Zz7PgGX0-kHA/edit?usp=sharing"",""แผน!AT22"")"),50000)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IFERROR(__xludf.DUMMYFUNCTION("IMPORTRANGE(""https://docs.google.com/spreadsheets/d/1QqKyyYR6Q21VydFLVH3TRQUabQu_ym0Zz7PgGX0-kHA/edit?usp=sharing"",""แผน!AS22"")"),10)</f>
        <v>10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5">I237+I248</f>
        <v>0</v>
      </c>
      <c r="J226" s="821">
        <f t="shared" si="105"/>
        <v>0</v>
      </c>
      <c r="K226" s="82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6">L238+L249</f>
        <v>0</v>
      </c>
      <c r="M227" s="831"/>
      <c r="N227" s="831">
        <f t="shared" ref="N227:N231" si="107">N238+N249</f>
        <v>0</v>
      </c>
      <c r="O227" s="832"/>
      <c r="P227" s="83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35"/>
      <c r="R229" s="835"/>
      <c r="S229" s="835"/>
      <c r="T229" s="835"/>
      <c r="U229" s="835"/>
      <c r="V229" s="835"/>
      <c r="W229" s="835"/>
      <c r="X229" s="835"/>
      <c r="Y229" s="835"/>
      <c r="Z229" s="835"/>
    </row>
    <row r="230" spans="1:2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35"/>
      <c r="R230" s="835"/>
      <c r="S230" s="835"/>
      <c r="T230" s="835"/>
      <c r="U230" s="835"/>
      <c r="V230" s="835"/>
      <c r="W230" s="835"/>
      <c r="X230" s="835"/>
      <c r="Y230" s="835"/>
      <c r="Z230" s="835"/>
    </row>
    <row r="231" spans="1:2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35"/>
      <c r="R231" s="835"/>
      <c r="S231" s="835"/>
      <c r="T231" s="835"/>
      <c r="U231" s="835"/>
      <c r="V231" s="835"/>
      <c r="W231" s="835"/>
      <c r="X231" s="835"/>
      <c r="Y231" s="835"/>
      <c r="Z231" s="835"/>
    </row>
    <row r="232" spans="1:2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IFERROR(__xludf.DUMMYFUNCTION("IMPORTRANGE(""https://docs.google.com/spreadsheets/d/1QqKyyYR6Q21VydFLVH3TRQUabQu_ym0Zz7PgGX0-kHA/edit?usp=sharing"",""แผน!AV22"")"),0)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IFERROR(__xludf.DUMMYFUNCTION("IMPORTRANGE(""https://docs.google.com/spreadsheets/d/1QqKyyYR6Q21VydFLVH3TRQUabQu_ym0Zz7PgGX0-kHA/edit?usp=sharing"",""แผน!AW22"")"),0)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IFERROR(__xludf.DUMMYFUNCTION("IMPORTRANGE(""https://docs.google.com/spreadsheets/d/1QqKyyYR6Q21VydFLVH3TRQUabQu_ym0Zz7PgGX0-kHA/edit?usp=sharing"",""แผน!AX22"")"),0)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IFERROR(__xludf.DUMMYFUNCTION("IMPORTRANGE(""https://docs.google.com/spreadsheets/d/1QqKyyYR6Q21VydFLVH3TRQUabQu_ym0Zz7PgGX0-kHA/edit?usp=sharing"",""แผน!AY22"")"),0)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IFERROR(__xludf.DUMMYFUNCTION("IMPORTRANGE(""https://docs.google.com/spreadsheets/d/1QqKyyYR6Q21VydFLVH3TRQUabQu_ym0Zz7PgGX0-kHA/edit?usp=sharing"",""แผน!BE22"")"),0)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IFERROR(__xludf.DUMMYFUNCTION("IMPORTRANGE(""https://docs.google.com/spreadsheets/d/1QqKyyYR6Q21VydFLVH3TRQUabQu_ym0Zz7PgGX0-kHA/edit?usp=sharing"",""แผน!AZ22"")"),0)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IFERROR(__xludf.DUMMYFUNCTION("IMPORTRANGE(""https://docs.google.com/spreadsheets/d/1QqKyyYR6Q21VydFLVH3TRQUabQu_ym0Zz7PgGX0-kHA/edit?usp=sharing"",""แผน!BA22"")"),0)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IFERROR(__xludf.DUMMYFUNCTION("IMPORTRANGE(""https://docs.google.com/spreadsheets/d/1QqKyyYR6Q21VydFLVH3TRQUabQu_ym0Zz7PgGX0-kHA/edit?usp=sharing"",""แผน!BB22"")"),0)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IFERROR(__xludf.DUMMYFUNCTION("IMPORTRANGE(""https://docs.google.com/spreadsheets/d/1QqKyyYR6Q21VydFLVH3TRQUabQu_ym0Zz7PgGX0-kHA/edit?usp=sharing"",""แผน!BC22"")"),0)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IFERROR(__xludf.DUMMYFUNCTION("IMPORTRANGE(""https://docs.google.com/spreadsheets/d/1QqKyyYR6Q21VydFLVH3TRQUabQu_ym0Zz7PgGX0-kHA/edit?usp=sharing"",""แผน!BF22"")"),0)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22350</v>
      </c>
      <c r="O261" s="155">
        <f t="shared" ref="O261:O269" ca="1" si="117">IF(L261&gt;0,N261*100/L261,0)</f>
        <v>77.604166666666671</v>
      </c>
      <c r="P261" s="155">
        <f t="shared" ref="P261:P269" ca="1" si="118">IF(M261&gt;0,N261*100/M261,0)</f>
        <v>86.627906976744185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22350</v>
      </c>
      <c r="O263" s="93">
        <f t="shared" ca="1" si="117"/>
        <v>77.604166666666671</v>
      </c>
      <c r="P263" s="93">
        <f t="shared" ca="1" si="118"/>
        <v>86.627906976744185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0">L265+L266</f>
        <v>28800</v>
      </c>
      <c r="M264" s="466">
        <f t="shared" ca="1" si="120"/>
        <v>25800</v>
      </c>
      <c r="N264" s="466">
        <f t="shared" ca="1" si="120"/>
        <v>22350</v>
      </c>
      <c r="O264" s="466">
        <f t="shared" ca="1" si="117"/>
        <v>77.604166666666671</v>
      </c>
      <c r="P264" s="466">
        <f t="shared" ca="1" si="118"/>
        <v>86.627906976744185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IFERROR(__xludf.DUMMYFUNCTION("IMPORTRANGE(""https://docs.google.com/spreadsheets/d/1MeEWN-I1oV_STSDYn1IFDPWt_1FKiwhDph83XaGc0o0/edit?usp=sharing"",""งบพรบ!CY22"")"),28800)</f>
        <v>28800</v>
      </c>
      <c r="M266" s="93">
        <f ca="1">IFERROR(__xludf.DUMMYFUNCTION("IMPORTRANGE(""https://docs.google.com/spreadsheets/d/1MeEWN-I1oV_STSDYn1IFDPWt_1FKiwhDph83XaGc0o0/edit?usp=sharing"",""งบพรบ!DD22"")"),25800)</f>
        <v>25800</v>
      </c>
      <c r="N266" s="93">
        <f ca="1">IFERROR(__xludf.DUMMYFUNCTION("IMPORTRANGE(""https://docs.google.com/spreadsheets/d/1MeEWN-I1oV_STSDYn1IFDPWt_1FKiwhDph83XaGc0o0/edit?usp=sharing"",""งบพรบ!DF22"")"),22350)</f>
        <v>22350</v>
      </c>
      <c r="O266" s="93">
        <f t="shared" ca="1" si="117"/>
        <v>77.604166666666671</v>
      </c>
      <c r="P266" s="93">
        <f t="shared" ca="1" si="118"/>
        <v>86.627906976744185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IFERROR(__xludf.DUMMYFUNCTION("IMPORTRANGE(""https://docs.google.com/spreadsheets/d/1MeEWN-I1oV_STSDYn1IFDPWt_1FKiwhDph83XaGc0o0/edit?usp=sharing"",""งบพรบ!DB22"")"),0)</f>
        <v>0</v>
      </c>
      <c r="M269" s="93">
        <f ca="1">IFERROR(__xludf.DUMMYFUNCTION("IMPORTRANGE(""https://docs.google.com/spreadsheets/d/1MeEWN-I1oV_STSDYn1IFDPWt_1FKiwhDph83XaGc0o0/edit?usp=sharing"",""งบพรบ!DE22"")"),0)</f>
        <v>0</v>
      </c>
      <c r="N269" s="93">
        <f ca="1">IFERROR(__xludf.DUMMYFUNCTION("IMPORTRANGE(""https://docs.google.com/spreadsheets/d/1MeEWN-I1oV_STSDYn1IFDPWt_1FKiwhDph83XaGc0o0/edit?usp=sharing"",""งบพรบ!DG22"")"),0)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IFERROR(__xludf.DUMMYFUNCTION("IMPORTRANGE(""https://docs.google.com/spreadsheets/d/1QqKyyYR6Q21VydFLVH3TRQUabQu_ym0Zz7PgGX0-kHA/edit?usp=sharing"",""แผน!EA22"")"),24)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100</v>
      </c>
      <c r="J276" s="375">
        <f t="shared" si="124"/>
        <v>100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4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20060</v>
      </c>
      <c r="O277" s="155">
        <f t="shared" ref="O277:O285" ca="1" si="126">IF(L277&gt;0,N277*100/L277,0)</f>
        <v>48.914898805169472</v>
      </c>
      <c r="P277" s="155">
        <f t="shared" ref="P277:P285" ca="1" si="127">IF(M277&gt;0,N277*100/M277,0)</f>
        <v>91.389521640091118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20060</v>
      </c>
      <c r="O279" s="93">
        <f t="shared" ca="1" si="126"/>
        <v>48.914898805169472</v>
      </c>
      <c r="P279" s="93">
        <f t="shared" ca="1" si="127"/>
        <v>91.389521640091118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29">L281+L282</f>
        <v>41010</v>
      </c>
      <c r="M280" s="466">
        <f t="shared" ca="1" si="129"/>
        <v>21950</v>
      </c>
      <c r="N280" s="466">
        <f t="shared" ca="1" si="129"/>
        <v>20060</v>
      </c>
      <c r="O280" s="466">
        <f t="shared" ca="1" si="126"/>
        <v>48.914898805169472</v>
      </c>
      <c r="P280" s="466">
        <f t="shared" ca="1" si="127"/>
        <v>91.389521640091118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IFERROR(__xludf.DUMMYFUNCTION("IMPORTRANGE(""https://docs.google.com/spreadsheets/d/1MeEWN-I1oV_STSDYn1IFDPWt_1FKiwhDph83XaGc0o0/edit?usp=sharing"",""งบพรบ!DI22"")"),41010)</f>
        <v>41010</v>
      </c>
      <c r="M282" s="93">
        <f ca="1">IFERROR(__xludf.DUMMYFUNCTION("IMPORTRANGE(""https://docs.google.com/spreadsheets/d/1MeEWN-I1oV_STSDYn1IFDPWt_1FKiwhDph83XaGc0o0/edit?usp=sharing"",""งบพรบ!DN22"")"),21950)</f>
        <v>21950</v>
      </c>
      <c r="N282" s="93">
        <f ca="1">IFERROR(__xludf.DUMMYFUNCTION("IMPORTRANGE(""https://docs.google.com/spreadsheets/d/1MeEWN-I1oV_STSDYn1IFDPWt_1FKiwhDph83XaGc0o0/edit?usp=sharing"",""งบพรบ!DP22"")"),20060)</f>
        <v>20060</v>
      </c>
      <c r="O282" s="93">
        <f t="shared" ca="1" si="126"/>
        <v>48.914898805169472</v>
      </c>
      <c r="P282" s="93">
        <f t="shared" ca="1" si="127"/>
        <v>91.389521640091118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IFERROR(__xludf.DUMMYFUNCTION("IMPORTRANGE(""https://docs.google.com/spreadsheets/d/1MeEWN-I1oV_STSDYn1IFDPWt_1FKiwhDph83XaGc0o0/edit?usp=sharing"",""งบพรบ!DL22"")"),0)</f>
        <v>0</v>
      </c>
      <c r="M285" s="93">
        <f ca="1">IFERROR(__xludf.DUMMYFUNCTION("IMPORTRANGE(""https://docs.google.com/spreadsheets/d/1MeEWN-I1oV_STSDYn1IFDPWt_1FKiwhDph83XaGc0o0/edit?usp=sharing"",""งบพรบ!DO22"")"),0)</f>
        <v>0</v>
      </c>
      <c r="N285" s="93">
        <f ca="1">IFERROR(__xludf.DUMMYFUNCTION("IMPORTRANGE(""https://docs.google.com/spreadsheets/d/1MeEWN-I1oV_STSDYn1IFDPWt_1FKiwhDph83XaGc0o0/edit?usp=sharing"",""งบพรบ!DQ22"")"),0)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IFERROR(__xludf.DUMMYFUNCTION("IMPORTRANGE(""https://docs.google.com/spreadsheets/d/1QqKyyYR6Q21VydFLVH3TRQUabQu_ym0Zz7PgGX0-kHA/edit?usp=sharing"",""แผน!EC22"")"),100)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IFERROR(__xludf.DUMMYFUNCTION("IMPORTRANGE(""https://docs.google.com/spreadsheets/d/1QqKyyYR6Q21VydFLVH3TRQUabQu_ym0Zz7PgGX0-kHA/edit?usp=sharing"",""แผน!EB22"")"),10)</f>
        <v>10</v>
      </c>
      <c r="J288" s="648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IFERROR(__xludf.DUMMYFUNCTION("IMPORTRANGE(""https://docs.google.com/spreadsheets/d/1QqKyyYR6Q21VydFLVH3TRQUabQu_ym0Zz7PgGX0-kHA/edit?usp=sharing"",""แผน!EB22"")"),10)</f>
        <v>10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IFERROR(__xludf.DUMMYFUNCTION("IMPORTRANGE(""https://docs.google.com/spreadsheets/d/1QqKyyYR6Q21VydFLVH3TRQUabQu_ym0Zz7PgGX0-kHA/edit?usp=sharing"",""แผน!EB22"")"),10)</f>
        <v>10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IFERROR(__xludf.DUMMYFUNCTION("IMPORTRANGE(""https://docs.google.com/spreadsheets/d/1QqKyyYR6Q21VydFLVH3TRQUabQu_ym0Zz7PgGX0-kHA/edit?usp=sharing"",""แผน!EB22"")"),10)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1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IFERROR(__xludf.DUMMYFUNCTION("IMPORTRANGE(""https://docs.google.com/spreadsheets/d/1QqKyyYR6Q21VydFLVH3TRQUabQu_ym0Zz7PgGX0-kHA/edit?usp=sharing"",""แผน!EB22"")"),10)</f>
        <v>10</v>
      </c>
      <c r="J294" s="393">
        <v>10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4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IFERROR(__xludf.DUMMYFUNCTION("IMPORTRANGE(""https://docs.google.com/spreadsheets/d/1MeEWN-I1oV_STSDYn1IFDPWt_1FKiwhDph83XaGc0o0/edit?usp=sharing"",""งบพรบ!DS22"")"),0)</f>
        <v>0</v>
      </c>
      <c r="M303" s="93">
        <f ca="1">IFERROR(__xludf.DUMMYFUNCTION("IMPORTRANGE(""https://docs.google.com/spreadsheets/d/1MeEWN-I1oV_STSDYn1IFDPWt_1FKiwhDph83XaGc0o0/edit?usp=sharing"",""งบพรบ!DX22"")"),0)</f>
        <v>0</v>
      </c>
      <c r="N303" s="93">
        <f ca="1">IFERROR(__xludf.DUMMYFUNCTION("IMPORTRANGE(""https://docs.google.com/spreadsheets/d/1MeEWN-I1oV_STSDYn1IFDPWt_1FKiwhDph83XaGc0o0/edit?usp=sharing"",""งบพรบ!DZ22"")"),0)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IFERROR(__xludf.DUMMYFUNCTION("IMPORTRANGE(""https://docs.google.com/spreadsheets/d/1MeEWN-I1oV_STSDYn1IFDPWt_1FKiwhDph83XaGc0o0/edit?usp=sharing"",""งบพรบ!DV22"")"),0)</f>
        <v>0</v>
      </c>
      <c r="M306" s="93">
        <f ca="1">IFERROR(__xludf.DUMMYFUNCTION("IMPORTRANGE(""https://docs.google.com/spreadsheets/d/1MeEWN-I1oV_STSDYn1IFDPWt_1FKiwhDph83XaGc0o0/edit?usp=sharing"",""งบพรบ!DY22"")"),0)</f>
        <v>0</v>
      </c>
      <c r="N306" s="93">
        <f ca="1">IFERROR(__xludf.DUMMYFUNCTION("IMPORTRANGE(""https://docs.google.com/spreadsheets/d/1MeEWN-I1oV_STSDYn1IFDPWt_1FKiwhDph83XaGc0o0/edit?usp=sharing"",""งบพรบ!EA22"")"),0)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IFERROR(__xludf.DUMMYFUNCTION("IMPORTRANGE(""https://docs.google.com/spreadsheets/d/1QqKyyYR6Q21VydFLVH3TRQUabQu_ym0Zz7PgGX0-kHA/edit?usp=sharing"",""แผน!ED22"")"),0)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IFERROR(__xludf.DUMMYFUNCTION("IMPORTRANGE(""https://docs.google.com/spreadsheets/d/1QqKyyYR6Q21VydFLVH3TRQUabQu_ym0Zz7PgGX0-kHA/edit?usp=sharing"",""แผน!ED22"")"),0)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IFERROR(__xludf.DUMMYFUNCTION("IMPORTRANGE(""https://docs.google.com/spreadsheets/d/1QqKyyYR6Q21VydFLVH3TRQUabQu_ym0Zz7PgGX0-kHA/edit?usp=sharing"",""แผน!ED22"")"),0)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IFERROR(__xludf.DUMMYFUNCTION("IMPORTRANGE(""https://docs.google.com/spreadsheets/d/1QqKyyYR6Q21VydFLVH3TRQUabQu_ym0Zz7PgGX0-kHA/edit?usp=sharing"",""แผน!EE22"")"),0)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4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IFERROR(__xludf.DUMMYFUNCTION("IMPORTRANGE(""https://docs.google.com/spreadsheets/d/1MeEWN-I1oV_STSDYn1IFDPWt_1FKiwhDph83XaGc0o0/edit?usp=sharing"",""งบพรบ!EC22"")"),0)</f>
        <v>0</v>
      </c>
      <c r="M320" s="93">
        <f ca="1">IFERROR(__xludf.DUMMYFUNCTION("IMPORTRANGE(""https://docs.google.com/spreadsheets/d/1MeEWN-I1oV_STSDYn1IFDPWt_1FKiwhDph83XaGc0o0/edit?usp=sharing"",""งบพรบ!EH22"")"),0)</f>
        <v>0</v>
      </c>
      <c r="N320" s="93">
        <f ca="1">IFERROR(__xludf.DUMMYFUNCTION("IMPORTRANGE(""https://docs.google.com/spreadsheets/d/1MeEWN-I1oV_STSDYn1IFDPWt_1FKiwhDph83XaGc0o0/edit?usp=sharing"",""งบพรบ!EJ22"")"),0)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IFERROR(__xludf.DUMMYFUNCTION("IMPORTRANGE(""https://docs.google.com/spreadsheets/d/1MeEWN-I1oV_STSDYn1IFDPWt_1FKiwhDph83XaGc0o0/edit?usp=sharing"",""งบพรบ!EF22"")"),0)</f>
        <v>0</v>
      </c>
      <c r="M323" s="93">
        <f ca="1">IFERROR(__xludf.DUMMYFUNCTION("IMPORTRANGE(""https://docs.google.com/spreadsheets/d/1MeEWN-I1oV_STSDYn1IFDPWt_1FKiwhDph83XaGc0o0/edit?usp=sharing"",""งบพรบ!EI22"")"),0)</f>
        <v>0</v>
      </c>
      <c r="N323" s="93">
        <f ca="1">IFERROR(__xludf.DUMMYFUNCTION("IMPORTRANGE(""https://docs.google.com/spreadsheets/d/1MeEWN-I1oV_STSDYn1IFDPWt_1FKiwhDph83XaGc0o0/edit?usp=sharing"",""งบพรบ!EK22"")"),0)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IFERROR(__xludf.DUMMYFUNCTION("IMPORTRANGE(""https://docs.google.com/spreadsheets/d/1QqKyyYR6Q21VydFLVH3TRQUabQu_ym0Zz7PgGX0-kHA/edit?usp=sharing"",""แผน!EF22"")"),0)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IFERROR(__xludf.DUMMYFUNCTION("IMPORTRANGE(""https://docs.google.com/spreadsheets/d/1QqKyyYR6Q21VydFLVH3TRQUabQu_ym0Zz7PgGX0-kHA/edit?usp=sharing"",""แผน!EG22"")"),1600)</f>
        <v>1600</v>
      </c>
      <c r="J327" s="413">
        <f ca="1">J338+J341+J342+J343</f>
        <v>1064</v>
      </c>
      <c r="K327" s="414">
        <f ca="1">IF(I327&gt;0,J327*100/I327,0)</f>
        <v>66.5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4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174000</v>
      </c>
      <c r="M328" s="155">
        <f t="shared" ca="1" si="149"/>
        <v>130500</v>
      </c>
      <c r="N328" s="155">
        <f t="shared" ca="1" si="149"/>
        <v>61490</v>
      </c>
      <c r="O328" s="155">
        <f t="shared" ref="O328:O336" ca="1" si="150">IF(L328&gt;0,N328*100/L328,0)</f>
        <v>35.339080459770116</v>
      </c>
      <c r="P328" s="155">
        <f t="shared" ref="P328:P336" ca="1" si="151">IF(M328&gt;0,N328*100/M328,0)</f>
        <v>47.11877394636015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174000</v>
      </c>
      <c r="M330" s="93">
        <f t="shared" ca="1" si="152"/>
        <v>130500</v>
      </c>
      <c r="N330" s="93">
        <f t="shared" ca="1" si="152"/>
        <v>61490</v>
      </c>
      <c r="O330" s="93">
        <f t="shared" ca="1" si="150"/>
        <v>35.339080459770116</v>
      </c>
      <c r="P330" s="93">
        <f t="shared" ca="1" si="151"/>
        <v>47.11877394636015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3">L332+L333</f>
        <v>174000</v>
      </c>
      <c r="M331" s="466">
        <f t="shared" ca="1" si="153"/>
        <v>130500</v>
      </c>
      <c r="N331" s="466">
        <f t="shared" ca="1" si="153"/>
        <v>61490</v>
      </c>
      <c r="O331" s="466">
        <f t="shared" ca="1" si="150"/>
        <v>35.339080459770116</v>
      </c>
      <c r="P331" s="466">
        <f t="shared" ca="1" si="151"/>
        <v>47.11877394636015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IFERROR(__xludf.DUMMYFUNCTION("IMPORTRANGE(""https://docs.google.com/spreadsheets/d/1MeEWN-I1oV_STSDYn1IFDPWt_1FKiwhDph83XaGc0o0/edit?usp=sharing"",""งบพรบ!EM22"")"),174000)</f>
        <v>174000</v>
      </c>
      <c r="M333" s="93">
        <f ca="1">IFERROR(__xludf.DUMMYFUNCTION("IMPORTRANGE(""https://docs.google.com/spreadsheets/d/1MeEWN-I1oV_STSDYn1IFDPWt_1FKiwhDph83XaGc0o0/edit?usp=sharing"",""งบพรบ!ER22"")"),130500)</f>
        <v>130500</v>
      </c>
      <c r="N333" s="93">
        <f ca="1">IFERROR(__xludf.DUMMYFUNCTION("IMPORTRANGE(""https://docs.google.com/spreadsheets/d/1MeEWN-I1oV_STSDYn1IFDPWt_1FKiwhDph83XaGc0o0/edit?usp=sharing"",""งบพรบ!ET22"")"),61490)</f>
        <v>61490</v>
      </c>
      <c r="O333" s="93">
        <f t="shared" ca="1" si="150"/>
        <v>35.339080459770116</v>
      </c>
      <c r="P333" s="93">
        <f t="shared" ca="1" si="151"/>
        <v>47.11877394636015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IFERROR(__xludf.DUMMYFUNCTION("IMPORTRANGE(""https://docs.google.com/spreadsheets/d/1MeEWN-I1oV_STSDYn1IFDPWt_1FKiwhDph83XaGc0o0/edit?usp=sharing"",""งบพรบ!EP22"")"),0)</f>
        <v>0</v>
      </c>
      <c r="M336" s="93">
        <f ca="1">IFERROR(__xludf.DUMMYFUNCTION("IMPORTRANGE(""https://docs.google.com/spreadsheets/d/1MeEWN-I1oV_STSDYn1IFDPWt_1FKiwhDph83XaGc0o0/edit?usp=sharing"",""งบพรบ!ES22"")"),0)</f>
        <v>0</v>
      </c>
      <c r="N336" s="93">
        <f ca="1">IFERROR(__xludf.DUMMYFUNCTION("IMPORTRANGE(""https://docs.google.com/spreadsheets/d/1MeEWN-I1oV_STSDYn1IFDPWt_1FKiwhDph83XaGc0o0/edit?usp=sharing"",""งบพรบ!EU22"")"),0)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IFERROR(__xludf.DUMMYFUNCTION("IMPORTRANGE(""https://docs.google.com/spreadsheets/d/1QqKyyYR6Q21VydFLVH3TRQUabQu_ym0Zz7PgGX0-kHA/edit?usp=sharing"",""แผน!EG22"")"),1600)</f>
        <v>1600</v>
      </c>
      <c r="J338" s="270">
        <f ca="1">IFERROR(__xludf.DUMMYFUNCTION("IMPORTRANGE(""https://docs.google.com/spreadsheets/d/1kVcqe37tkHyjCSG3S0O1AXqVkqjo8mSIZil3BcpIysc/edit?usp=sharing"",""ศูนย์!D22"")"),904)</f>
        <v>904</v>
      </c>
      <c r="K338" s="466">
        <f ca="1">IF(I338&gt;0,J338*100/I338,0)</f>
        <v>56.5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IFERROR(__xludf.DUMMYFUNCTION("IMPORTRANGE(""https://docs.google.com/spreadsheets/d/1QqKyyYR6Q21VydFLVH3TRQUabQu_ym0Zz7PgGX0-kHA/edit?usp=sharing"",""แผน!EH22"")"),8)</f>
        <v>8</v>
      </c>
      <c r="J340" s="270">
        <f ca="1">IFERROR(__xludf.DUMMYFUNCTION("IMPORTRANGE(""https://docs.google.com/spreadsheets/d/1kVcqe37tkHyjCSG3S0O1AXqVkqjo8mSIZil3BcpIysc/edit?usp=sharing"",""ศูนย์!E22"")"),4)</f>
        <v>4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IFERROR(__xludf.DUMMYFUNCTION("IMPORTRANGE(""https://docs.google.com/spreadsheets/d/1kVcqe37tkHyjCSG3S0O1AXqVkqjo8mSIZil3BcpIysc/edit?usp=sharing"",""ศูนย์!F22"")"),159)</f>
        <v>159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IFERROR(__xludf.DUMMYFUNCTION("IMPORTRANGE(""https://docs.google.com/spreadsheets/d/1kVcqe37tkHyjCSG3S0O1AXqVkqjo8mSIZil3BcpIysc/edit?usp=sharing"",""ศูนย์!G22"")"),1)</f>
        <v>1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IFERROR(__xludf.DUMMYFUNCTION("IMPORTRANGE(""https://docs.google.com/spreadsheets/d/1kVcqe37tkHyjCSG3S0O1AXqVkqjo8mSIZil3BcpIysc/edit?usp=sharing"",""ศูนย์!H22"")"),0)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4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702430</v>
      </c>
      <c r="M345" s="155">
        <f t="shared" ca="1" si="155"/>
        <v>528410</v>
      </c>
      <c r="N345" s="155">
        <f t="shared" ca="1" si="155"/>
        <v>405821.70999999996</v>
      </c>
      <c r="O345" s="155">
        <f t="shared" ref="O345:O353" ca="1" si="156">IF(L345&gt;0,N345*100/L345,0)</f>
        <v>57.773971783665274</v>
      </c>
      <c r="P345" s="155">
        <f t="shared" ref="P345:P353" ca="1" si="157">IF(M345&gt;0,N345*100/M345,0)</f>
        <v>76.800535568971071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702430</v>
      </c>
      <c r="M347" s="93">
        <f t="shared" ca="1" si="158"/>
        <v>528410</v>
      </c>
      <c r="N347" s="93">
        <f t="shared" ca="1" si="158"/>
        <v>405821.70999999996</v>
      </c>
      <c r="O347" s="93">
        <f t="shared" ca="1" si="156"/>
        <v>57.773971783665274</v>
      </c>
      <c r="P347" s="93">
        <f t="shared" ca="1" si="157"/>
        <v>76.800535568971071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59">L349+L350</f>
        <v>493630</v>
      </c>
      <c r="M348" s="466">
        <f t="shared" ca="1" si="159"/>
        <v>319610</v>
      </c>
      <c r="N348" s="466">
        <f t="shared" ca="1" si="159"/>
        <v>197021.71</v>
      </c>
      <c r="O348" s="466">
        <f t="shared" ca="1" si="156"/>
        <v>39.912831472965578</v>
      </c>
      <c r="P348" s="466">
        <f t="shared" ca="1" si="157"/>
        <v>61.644413503957949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IFERROR(__xludf.DUMMYFUNCTION("IMPORTRANGE(""https://docs.google.com/spreadsheets/d/1MeEWN-I1oV_STSDYn1IFDPWt_1FKiwhDph83XaGc0o0/edit?usp=sharing"",""งบพรบ!EW22"")"),493630)</f>
        <v>493630</v>
      </c>
      <c r="M350" s="93">
        <f ca="1">IFERROR(__xludf.DUMMYFUNCTION("IMPORTRANGE(""https://docs.google.com/spreadsheets/d/1MeEWN-I1oV_STSDYn1IFDPWt_1FKiwhDph83XaGc0o0/edit?usp=sharing"",""งบพรบ!FB22"")"),319610)</f>
        <v>319610</v>
      </c>
      <c r="N350" s="93">
        <f ca="1">IFERROR(__xludf.DUMMYFUNCTION("IMPORTRANGE(""https://docs.google.com/spreadsheets/d/1MeEWN-I1oV_STSDYn1IFDPWt_1FKiwhDph83XaGc0o0/edit?usp=sharing"",""งบพรบ!FD22"")"),197021.71)</f>
        <v>197021.71</v>
      </c>
      <c r="O350" s="93">
        <f t="shared" ca="1" si="156"/>
        <v>39.912831472965578</v>
      </c>
      <c r="P350" s="93">
        <f t="shared" ca="1" si="157"/>
        <v>61.644413503957949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208800</v>
      </c>
      <c r="M351" s="466">
        <f t="shared" ca="1" si="160"/>
        <v>208800</v>
      </c>
      <c r="N351" s="466">
        <f t="shared" ca="1" si="160"/>
        <v>208800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IFERROR(__xludf.DUMMYFUNCTION("IMPORTRANGE(""https://docs.google.com/spreadsheets/d/1MeEWN-I1oV_STSDYn1IFDPWt_1FKiwhDph83XaGc0o0/edit?usp=sharing"",""งบพรบ!EZ22"")"),208800)</f>
        <v>208800</v>
      </c>
      <c r="M353" s="93">
        <f ca="1">IFERROR(__xludf.DUMMYFUNCTION("IMPORTRANGE(""https://docs.google.com/spreadsheets/d/1MeEWN-I1oV_STSDYn1IFDPWt_1FKiwhDph83XaGc0o0/edit?usp=sharing"",""งบพรบ!FC22"")"),208800)</f>
        <v>208800</v>
      </c>
      <c r="N353" s="93">
        <f ca="1">IFERROR(__xludf.DUMMYFUNCTION("IMPORTRANGE(""https://docs.google.com/spreadsheets/d/1MeEWN-I1oV_STSDYn1IFDPWt_1FKiwhDph83XaGc0o0/edit?usp=sharing"",""งบพรบ!FE22"")"),208800)</f>
        <v>208800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IFERROR(__xludf.DUMMYFUNCTION("IMPORTRANGE(""https://docs.google.com/spreadsheets/d/1QqKyyYR6Q21VydFLVH3TRQUabQu_ym0Zz7PgGX0-kHA/edit?usp=sharing"",""แผน!EP22"")"),190)</f>
        <v>190</v>
      </c>
      <c r="J355" s="433">
        <f ca="1">J362</f>
        <v>19</v>
      </c>
      <c r="K355" s="434">
        <f ca="1">IF(I355&gt;0,J355*100/I355,0)</f>
        <v>10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IFERROR(__xludf.DUMMYFUNCTION("IMPORTRANGE(""https://docs.google.com/spreadsheets/d/1XWAQStnk-4SwqDmLtmXYiTMKHgktTP8We1SCoS47DrQ/edit?usp=sharing"",""จัดที่ดิน!W22"")"),51)</f>
        <v>51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IFERROR(__xludf.DUMMYFUNCTION("IMPORTRANGE(""https://docs.google.com/spreadsheets/d/1QqKyyYR6Q21VydFLVH3TRQUabQu_ym0Zz7PgGX0-kHA/edit?usp=sharing"",""แผน!EO22"")"),1850)</f>
        <v>1850</v>
      </c>
      <c r="J359" s="270">
        <f ca="1">IFERROR(__xludf.DUMMYFUNCTION("IMPORTRANGE(""https://docs.google.com/spreadsheets/d/1XWAQStnk-4SwqDmLtmXYiTMKHgktTP8We1SCoS47DrQ/edit?usp=sharing"",""จัดที่ดิน!X22"")"),521.89)</f>
        <v>521.89</v>
      </c>
      <c r="K359" s="466">
        <f t="shared" ca="1" si="161"/>
        <v>28.210270270270271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IFERROR(__xludf.DUMMYFUNCTION("IMPORTRANGE(""https://docs.google.com/spreadsheets/d/1QqKyyYR6Q21VydFLVH3TRQUabQu_ym0Zz7PgGX0-kHA/edit?usp=sharing"",""แผน!EP22"")"),190)</f>
        <v>190</v>
      </c>
      <c r="J360" s="270">
        <f ca="1">IFERROR(__xludf.DUMMYFUNCTION("IMPORTRANGE(""https://docs.google.com/spreadsheets/d/1XWAQStnk-4SwqDmLtmXYiTMKHgktTP8We1SCoS47DrQ/edit?usp=sharing"",""จัดที่ดิน!Y22"")"),54)</f>
        <v>54</v>
      </c>
      <c r="K360" s="466">
        <f t="shared" ca="1" si="161"/>
        <v>28.421052631578949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IFERROR(__xludf.DUMMYFUNCTION("IMPORTRANGE(""https://docs.google.com/spreadsheets/d/1XWAQStnk-4SwqDmLtmXYiTMKHgktTP8We1SCoS47DrQ/edit?usp=sharing"",""จัดที่ดิน!Z22"")"),607.83)</f>
        <v>607.83000000000004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IFERROR(__xludf.DUMMYFUNCTION("IMPORTRANGE(""https://docs.google.com/spreadsheets/d/1QqKyyYR6Q21VydFLVH3TRQUabQu_ym0Zz7PgGX0-kHA/edit?usp=sharing"",""แผน!EP22"")"),190)</f>
        <v>190</v>
      </c>
      <c r="J362" s="270">
        <f ca="1">IFERROR(__xludf.DUMMYFUNCTION("IMPORTRANGE(""https://docs.google.com/spreadsheets/d/1XWAQStnk-4SwqDmLtmXYiTMKHgktTP8We1SCoS47DrQ/edit?usp=sharing"",""จัดที่ดิน!AA22"")"),19)</f>
        <v>19</v>
      </c>
      <c r="K362" s="466">
        <f t="shared" ca="1" si="161"/>
        <v>10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IFERROR(__xludf.DUMMYFUNCTION("IMPORTRANGE(""https://docs.google.com/spreadsheets/d/1XWAQStnk-4SwqDmLtmXYiTMKHgktTP8We1SCoS47DrQ/edit?usp=sharing"",""จัดที่ดิน!AB22"")"),138.23)</f>
        <v>138.22999999999999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530</v>
      </c>
      <c r="J364" s="447">
        <f t="shared" ca="1" si="162"/>
        <v>67</v>
      </c>
      <c r="K364" s="448">
        <f t="shared" ca="1" si="161"/>
        <v>12.641509433962264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IFERROR(__xludf.DUMMYFUNCTION("IMPORTRANGE(""https://docs.google.com/spreadsheets/d/1QqKyyYR6Q21VydFLVH3TRQUabQu_ym0Zz7PgGX0-kHA/edit?usp=sharing"",""แผน!EJ22"")"),150)</f>
        <v>150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IFERROR(__xludf.DUMMYFUNCTION("IMPORTRANGE(""https://docs.google.com/spreadsheets/d/1XWAQStnk-4SwqDmLtmXYiTMKHgktTP8We1SCoS47DrQ/edit?usp=sharing"",""จัดที่ดิน!E22"")"),31)</f>
        <v>31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IFERROR(__xludf.DUMMYFUNCTION("IMPORTRANGE(""https://docs.google.com/spreadsheets/d/1QqKyyYR6Q21VydFLVH3TRQUabQu_ym0Zz7PgGX0-kHA/edit?usp=sharing"",""แผน!EI22"")"),1500)</f>
        <v>1500</v>
      </c>
      <c r="J369" s="270">
        <f ca="1">IFERROR(__xludf.DUMMYFUNCTION("IMPORTRANGE(""https://docs.google.com/spreadsheets/d/1XWAQStnk-4SwqDmLtmXYiTMKHgktTP8We1SCoS47DrQ/edit?usp=sharing"",""จัดที่ดิน!F22"")"),383.55)</f>
        <v>383.55</v>
      </c>
      <c r="K369" s="466">
        <f t="shared" ca="1" si="163"/>
        <v>25.57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IFERROR(__xludf.DUMMYFUNCTION("IMPORTRANGE(""https://docs.google.com/spreadsheets/d/1QqKyyYR6Q21VydFLVH3TRQUabQu_ym0Zz7PgGX0-kHA/edit?usp=sharing"",""แผน!EJ22"")"),150)</f>
        <v>150</v>
      </c>
      <c r="J370" s="270">
        <f ca="1">IFERROR(__xludf.DUMMYFUNCTION("IMPORTRANGE(""https://docs.google.com/spreadsheets/d/1XWAQStnk-4SwqDmLtmXYiTMKHgktTP8We1SCoS47DrQ/edit?usp=sharing"",""จัดที่ดิน!G22"")"),34)</f>
        <v>34</v>
      </c>
      <c r="K370" s="466">
        <f t="shared" ca="1" si="163"/>
        <v>22.666666666666668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IFERROR(__xludf.DUMMYFUNCTION("IMPORTRANGE(""https://docs.google.com/spreadsheets/d/1XWAQStnk-4SwqDmLtmXYiTMKHgktTP8We1SCoS47DrQ/edit?usp=sharing"",""จัดที่ดิน!H22"")"),469.49)</f>
        <v>469.49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IFERROR(__xludf.DUMMYFUNCTION("IMPORTRANGE(""https://docs.google.com/spreadsheets/d/1QqKyyYR6Q21VydFLVH3TRQUabQu_ym0Zz7PgGX0-kHA/edit?usp=sharing"",""แผน!EJ22"")"),150)</f>
        <v>150</v>
      </c>
      <c r="J372" s="270">
        <f ca="1">IFERROR(__xludf.DUMMYFUNCTION("IMPORTRANGE(""https://docs.google.com/spreadsheets/d/1XWAQStnk-4SwqDmLtmXYiTMKHgktTP8We1SCoS47DrQ/edit?usp=sharing"",""จัดที่ดิน!I22"")"),0)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IFERROR(__xludf.DUMMYFUNCTION("IMPORTRANGE(""https://docs.google.com/spreadsheets/d/1XWAQStnk-4SwqDmLtmXYiTMKHgktTP8We1SCoS47DrQ/edit?usp=sharing"",""จัดที่ดิน!J22"")"),0)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IFERROR(__xludf.DUMMYFUNCTION("IMPORTRANGE(""https://docs.google.com/spreadsheets/d/1QqKyyYR6Q21VydFLVH3TRQUabQu_ym0Zz7PgGX0-kHA/edit?usp=sharing"",""แผน!EU22"")"),380)</f>
        <v>380</v>
      </c>
      <c r="J374" s="459">
        <f ca="1">J381</f>
        <v>67</v>
      </c>
      <c r="K374" s="460">
        <f t="shared" ca="1" si="163"/>
        <v>17.631578947368421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IFERROR(__xludf.DUMMYFUNCTION("IMPORTRANGE(""https://docs.google.com/spreadsheets/d/1XWAQStnk-4SwqDmLtmXYiTMKHgktTP8We1SCoS47DrQ/edit?usp=sharing"",""จัดที่ดิน!AH22"")"),20)</f>
        <v>20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IFERROR(__xludf.DUMMYFUNCTION("IMPORTRANGE(""https://docs.google.com/spreadsheets/d/1QqKyyYR6Q21VydFLVH3TRQUabQu_ym0Zz7PgGX0-kHA/edit?usp=sharing"",""แผน!ET22"")"),350)</f>
        <v>350</v>
      </c>
      <c r="J378" s="270">
        <f ca="1">IFERROR(__xludf.DUMMYFUNCTION("IMPORTRANGE(""https://docs.google.com/spreadsheets/d/1XWAQStnk-4SwqDmLtmXYiTMKHgktTP8We1SCoS47DrQ/edit?usp=sharing"",""จัดที่ดิน!AI22"")"),138.34)</f>
        <v>138.34</v>
      </c>
      <c r="K378" s="466">
        <f t="shared" ca="1" si="164"/>
        <v>39.525714285714287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IFERROR(__xludf.DUMMYFUNCTION("IMPORTRANGE(""https://docs.google.com/spreadsheets/d/1QqKyyYR6Q21VydFLVH3TRQUabQu_ym0Zz7PgGX0-kHA/edit?usp=sharing"",""แผน!EU22"")"),380)</f>
        <v>380</v>
      </c>
      <c r="J379" s="270">
        <f ca="1">IFERROR(__xludf.DUMMYFUNCTION("IMPORTRANGE(""https://docs.google.com/spreadsheets/d/1XWAQStnk-4SwqDmLtmXYiTMKHgktTP8We1SCoS47DrQ/edit?usp=sharing"",""จัดที่ดิน!AJ22"")"),68)</f>
        <v>68</v>
      </c>
      <c r="K379" s="466">
        <f t="shared" ca="1" si="164"/>
        <v>17.894736842105264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IFERROR(__xludf.DUMMYFUNCTION("IMPORTRANGE(""https://docs.google.com/spreadsheets/d/1XWAQStnk-4SwqDmLtmXYiTMKHgktTP8We1SCoS47DrQ/edit?usp=sharing"",""จัดที่ดิน!AK22"")"),705.4)</f>
        <v>705.4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IFERROR(__xludf.DUMMYFUNCTION("IMPORTRANGE(""https://docs.google.com/spreadsheets/d/1QqKyyYR6Q21VydFLVH3TRQUabQu_ym0Zz7PgGX0-kHA/edit?usp=sharing"",""แผน!EU22"")"),380)</f>
        <v>380</v>
      </c>
      <c r="J381" s="270">
        <f ca="1">IFERROR(__xludf.DUMMYFUNCTION("IMPORTRANGE(""https://docs.google.com/spreadsheets/d/1XWAQStnk-4SwqDmLtmXYiTMKHgktTP8We1SCoS47DrQ/edit?usp=sharing"",""จัดที่ดิน!AL22"")"),67)</f>
        <v>67</v>
      </c>
      <c r="K381" s="466">
        <f t="shared" ca="1" si="164"/>
        <v>17.631578947368421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IFERROR(__xludf.DUMMYFUNCTION("IMPORTRANGE(""https://docs.google.com/spreadsheets/d/1XWAQStnk-4SwqDmLtmXYiTMKHgktTP8We1SCoS47DrQ/edit?usp=sharing"",""จัดที่ดิน!AM22"")"),705.29)</f>
        <v>705.29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IFERROR(__xludf.DUMMYFUNCTION("IMPORTRANGE(""https://docs.google.com/spreadsheets/d/1QqKyyYR6Q21VydFLVH3TRQUabQu_ym0Zz7PgGX0-kHA/edit?usp=sharing"",""แผน!EW22"")"),20)</f>
        <v>20</v>
      </c>
      <c r="J385" s="469">
        <f ca="1">IFERROR(__xludf.DUMMYFUNCTION("IMPORTRANGE(""https://docs.google.com/spreadsheets/d/1XWAQStnk-4SwqDmLtmXYiTMKHgktTP8We1SCoS47DrQ/edit?usp=sharing"",""จัดที่ดิน!AP22"")"),0)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4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IFERROR(__xludf.DUMMYFUNCTION("IMPORTRANGE(""https://docs.google.com/spreadsheets/d/1MeEWN-I1oV_STSDYn1IFDPWt_1FKiwhDph83XaGc0o0/edit?usp=sharing"",""งบพรบ!FG22"")"),0)</f>
        <v>0</v>
      </c>
      <c r="M394" s="93">
        <f ca="1">IFERROR(__xludf.DUMMYFUNCTION("IMPORTRANGE(""https://docs.google.com/spreadsheets/d/1MeEWN-I1oV_STSDYn1IFDPWt_1FKiwhDph83XaGc0o0/edit?usp=sharing"",""งบพรบ!FL22"")"),0)</f>
        <v>0</v>
      </c>
      <c r="N394" s="93">
        <f ca="1">IFERROR(__xludf.DUMMYFUNCTION("IMPORTRANGE(""https://docs.google.com/spreadsheets/d/1MeEWN-I1oV_STSDYn1IFDPWt_1FKiwhDph83XaGc0o0/edit?usp=sharing"",""งบพรบ!FN22"")"),0)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IFERROR(__xludf.DUMMYFUNCTION("IMPORTRANGE(""https://docs.google.com/spreadsheets/d/1MeEWN-I1oV_STSDYn1IFDPWt_1FKiwhDph83XaGc0o0/edit?usp=sharing"",""งบพรบ!FJ22"")"),0)</f>
        <v>0</v>
      </c>
      <c r="M397" s="93">
        <f ca="1">IFERROR(__xludf.DUMMYFUNCTION("IMPORTRANGE(""https://docs.google.com/spreadsheets/d/1MeEWN-I1oV_STSDYn1IFDPWt_1FKiwhDph83XaGc0o0/edit?usp=sharing"",""งบพรบ!FM22"")"),0)</f>
        <v>0</v>
      </c>
      <c r="N397" s="93">
        <f ca="1">IFERROR(__xludf.DUMMYFUNCTION("IMPORTRANGE(""https://docs.google.com/spreadsheets/d/1MeEWN-I1oV_STSDYn1IFDPWt_1FKiwhDph83XaGc0o0/edit?usp=sharing"",""งบพรบ!FO22"")"),0)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4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IFERROR(__xludf.DUMMYFUNCTION("IMPORTRANGE(""https://docs.google.com/spreadsheets/d/1MeEWN-I1oV_STSDYn1IFDPWt_1FKiwhDph83XaGc0o0/edit?usp=sharing"",""งบพรบ!FQ22"")"),0)</f>
        <v>0</v>
      </c>
      <c r="M407" s="93">
        <f ca="1">IFERROR(__xludf.DUMMYFUNCTION("IMPORTRANGE(""https://docs.google.com/spreadsheets/d/1MeEWN-I1oV_STSDYn1IFDPWt_1FKiwhDph83XaGc0o0/edit?usp=sharing"",""งบพรบ!FV22"")"),0)</f>
        <v>0</v>
      </c>
      <c r="N407" s="93">
        <f ca="1">IFERROR(__xludf.DUMMYFUNCTION("IMPORTRANGE(""https://docs.google.com/spreadsheets/d/1MeEWN-I1oV_STSDYn1IFDPWt_1FKiwhDph83XaGc0o0/edit?usp=sharing"",""งบพรบ!FX22"")"),0)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IFERROR(__xludf.DUMMYFUNCTION("IMPORTRANGE(""https://docs.google.com/spreadsheets/d/1MeEWN-I1oV_STSDYn1IFDPWt_1FKiwhDph83XaGc0o0/edit?usp=sharing"",""งบพรบ!FT22"")"),0)</f>
        <v>0</v>
      </c>
      <c r="M410" s="93">
        <f ca="1">IFERROR(__xludf.DUMMYFUNCTION("IMPORTRANGE(""https://docs.google.com/spreadsheets/d/1MeEWN-I1oV_STSDYn1IFDPWt_1FKiwhDph83XaGc0o0/edit?usp=sharing"",""งบพรบ!FW22"")"),0)</f>
        <v>0</v>
      </c>
      <c r="N410" s="93">
        <f ca="1">IFERROR(__xludf.DUMMYFUNCTION("IMPORTRANGE(""https://docs.google.com/spreadsheets/d/1MeEWN-I1oV_STSDYn1IFDPWt_1FKiwhDph83XaGc0o0/edit?usp=sharing"",""งบพรบ!FY22"")"),0)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2242882</v>
      </c>
      <c r="M414" s="517">
        <f t="shared" si="181"/>
        <v>0</v>
      </c>
      <c r="N414" s="517">
        <f t="shared" si="181"/>
        <v>472044.32</v>
      </c>
      <c r="O414" s="517">
        <f ca="1">IF(L414&gt;0,N414*100/L414,0)</f>
        <v>21.046328785910269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si="188"/>
        <v>0</v>
      </c>
      <c r="N422" s="466">
        <f t="shared" si="188"/>
        <v>0</v>
      </c>
      <c r="O422" s="466">
        <f t="shared" ca="1" si="185"/>
        <v>0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IFERROR(__xludf.DUMMYFUNCTION("IMPORTRANGE(""https://docs.google.com/spreadsheets/d/1QqKyyYR6Q21VydFLVH3TRQUabQu_ym0Zz7PgGX0-kHA/edit?usp=sharing"",""แผน!EY22"")"),78660)</f>
        <v>78660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v>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v>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20</v>
      </c>
      <c r="J433" s="648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t="shared" ref="I434:J434" ca="1" si="193">I438+I440</f>
        <v>1</v>
      </c>
      <c r="J434" s="648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IFERROR(__xludf.DUMMYFUNCTION("IMPORTRANGE(""https://docs.google.com/spreadsheets/d/1QqKyyYR6Q21VydFLVH3TRQUabQu_ym0Zz7PgGX0-kHA/edit?usp=sharing"",""แผน!FC22"")"),20)</f>
        <v>20</v>
      </c>
      <c r="J435" s="549">
        <v>0</v>
      </c>
      <c r="K435" s="466">
        <f t="shared" ca="1" si="192"/>
        <v>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IFERROR(__xludf.DUMMYFUNCTION("IMPORTRANGE(""https://docs.google.com/spreadsheets/d/1QqKyyYR6Q21VydFLVH3TRQUabQu_ym0Zz7PgGX0-kHA/edit?usp=sharing"",""แผน!FD22"")"),0)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IFERROR(__xludf.DUMMYFUNCTION("IMPORTRANGE(""https://docs.google.com/spreadsheets/d/1QqKyyYR6Q21VydFLVH3TRQUabQu_ym0Zz7PgGX0-kHA/edit?usp=sharing"",""แผน!FE22"")"),0)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IFERROR(__xludf.DUMMYFUNCTION("IMPORTRANGE(""https://docs.google.com/spreadsheets/d/1QqKyyYR6Q21VydFLVH3TRQUabQu_ym0Zz7PgGX0-kHA/edit?usp=sharing"",""แผน!FF22"")"),20)</f>
        <v>20</v>
      </c>
      <c r="J439" s="549">
        <v>0</v>
      </c>
      <c r="K439" s="466">
        <f t="shared" ca="1" si="194"/>
        <v>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IFERROR(__xludf.DUMMYFUNCTION("IMPORTRANGE(""https://docs.google.com/spreadsheets/d/1QqKyyYR6Q21VydFLVH3TRQUabQu_ym0Zz7PgGX0-kHA/edit?usp=sharing"",""แผน!FG22"")"),1)</f>
        <v>1</v>
      </c>
      <c r="J440" s="215">
        <v>0</v>
      </c>
      <c r="K440" s="466">
        <f t="shared" ca="1" si="194"/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IFERROR(__xludf.DUMMYFUNCTION("IMPORTRANGE(""https://docs.google.com/spreadsheets/d/1QqKyyYR6Q21VydFLVH3TRQUabQu_ym0Zz7PgGX0-kHA/edit?usp=sharing"",""แผน!FH22"")"),0)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0</v>
      </c>
      <c r="J442" s="555">
        <f t="shared" si="195"/>
        <v>0</v>
      </c>
      <c r="K442" s="556">
        <f t="shared" ca="1" si="194"/>
        <v>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 hidden="1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 hidden="1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 hidden="1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1">L448+L449</f>
        <v>0</v>
      </c>
      <c r="M447" s="466">
        <f t="shared" si="201"/>
        <v>0</v>
      </c>
      <c r="N447" s="466">
        <f t="shared" si="201"/>
        <v>0</v>
      </c>
      <c r="O447" s="466">
        <f t="shared" ca="1" si="198"/>
        <v>0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IFERROR(__xludf.DUMMYFUNCTION("IMPORTRANGE(""https://docs.google.com/spreadsheets/d/1QqKyyYR6Q21VydFLVH3TRQUabQu_ym0Zz7PgGX0-kHA/edit?usp=sharing"",""แผน!FJ22"")"),0)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 hidden="1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v>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 hidden="1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 hidden="1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v>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 hidden="1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v>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 hidden="1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 hidden="1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 hidden="1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IFERROR(__xludf.DUMMYFUNCTION("IMPORTRANGE(""https://docs.google.com/spreadsheets/d/1QqKyyYR6Q21VydFLVH3TRQUabQu_ym0Zz7PgGX0-kHA/edit?usp=sharing"",""แผน!FN22"")"),0)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 hidden="1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 hidden="1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IFERROR(__xludf.DUMMYFUNCTION("IMPORTRANGE(""https://docs.google.com/spreadsheets/d/1QqKyyYR6Q21VydFLVH3TRQUabQu_ym0Zz7PgGX0-kHA/edit?usp=sharing"",""แผน!FO22"")"),0)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 hidden="1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IFERROR(__xludf.DUMMYFUNCTION("IMPORTRANGE(""https://docs.google.com/spreadsheets/d/1QqKyyYR6Q21VydFLVH3TRQUabQu_ym0Zz7PgGX0-kHA/edit?usp=sharing"",""แผน!FO22"")"),0)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 hidden="1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IFERROR(__xludf.DUMMYFUNCTION("IMPORTRANGE(""https://docs.google.com/spreadsheets/d/1QqKyyYR6Q21VydFLVH3TRQUabQu_ym0Zz7PgGX0-kHA/edit?usp=sharing"",""แผน!FN22"")"),0)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IFERROR(__xludf.DUMMYFUNCTION("IMPORTRANGE(""https://docs.google.com/spreadsheets/d/1QqKyyYR6Q21VydFLVH3TRQUabQu_ym0Zz7PgGX0-kHA/edit?usp=sharing"",""แผน!FX22"")"),131)</f>
        <v>131</v>
      </c>
      <c r="J465" s="555">
        <f>J485+J489+J492</f>
        <v>117</v>
      </c>
      <c r="K465" s="556">
        <f t="shared" ref="K465:K466" ca="1" si="205">IF(I465&gt;0,J465*100/I465,0)</f>
        <v>89.312977099236647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IFERROR(__xludf.DUMMYFUNCTION("IMPORTRANGE(""https://docs.google.com/spreadsheets/d/1QqKyyYR6Q21VydFLVH3TRQUabQu_ym0Zz7PgGX0-kHA/edit?usp=sharing"",""แผน!FW22"")"),1300)</f>
        <v>1300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1168098</v>
      </c>
      <c r="M467" s="195">
        <f t="shared" si="206"/>
        <v>0</v>
      </c>
      <c r="N467" s="195">
        <f t="shared" si="206"/>
        <v>165700.01999999999</v>
      </c>
      <c r="O467" s="195">
        <f t="shared" ref="O467:O472" ca="1" si="207">IF(L467&gt;0,N467*100/L467,0)</f>
        <v>14.185455329946629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09"/>
        <v>1168098</v>
      </c>
      <c r="M469" s="93">
        <f t="shared" si="209"/>
        <v>0</v>
      </c>
      <c r="N469" s="93">
        <f t="shared" si="209"/>
        <v>165700.01999999999</v>
      </c>
      <c r="O469" s="93">
        <f t="shared" ca="1" si="207"/>
        <v>14.185455329946629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0">L471+L472</f>
        <v>1168098</v>
      </c>
      <c r="M470" s="466">
        <f t="shared" si="210"/>
        <v>0</v>
      </c>
      <c r="N470" s="466">
        <f t="shared" si="210"/>
        <v>165700.01999999999</v>
      </c>
      <c r="O470" s="466">
        <f t="shared" ca="1" si="207"/>
        <v>14.185455329946629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IFERROR(__xludf.DUMMYFUNCTION("IMPORTRANGE(""https://docs.google.com/spreadsheets/d/1QqKyyYR6Q21VydFLVH3TRQUabQu_ym0Zz7PgGX0-kHA/edit?usp=sharing"",""แผน!FS22"")"),1168098)</f>
        <v>1168098</v>
      </c>
      <c r="M472" s="93">
        <v>0</v>
      </c>
      <c r="N472" s="93">
        <f>N473+N474+N475+N476</f>
        <v>165700.01999999999</v>
      </c>
      <c r="O472" s="93">
        <f t="shared" ca="1" si="207"/>
        <v>14.185455329946629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>
        <v>104420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>
        <v>4000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v>49400.02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v>7880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IFERROR(__xludf.DUMMYFUNCTION("IMPORTRANGE(""https://docs.google.com/spreadsheets/d/1QqKyyYR6Q21VydFLVH3TRQUabQu_ym0Zz7PgGX0-kHA/edit?usp=sharing"",""แผน!FY22"")"),1170)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IFERROR(__xludf.DUMMYFUNCTION("IMPORTRANGE(""https://docs.google.com/spreadsheets/d/1QqKyyYR6Q21VydFLVH3TRQUabQu_ym0Zz7PgGX0-kHA/edit?usp=sharing"",""แผน!FZ22"")"),117)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IFERROR(__xludf.DUMMYFUNCTION("IMPORTRANGE(""https://docs.google.com/spreadsheets/d/1QqKyyYR6Q21VydFLVH3TRQUabQu_ym0Zz7PgGX0-kHA/edit?usp=sharing"",""แผน!GA22"")"),130)</f>
        <v>130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IFERROR(__xludf.DUMMYFUNCTION("IMPORTRANGE(""https://docs.google.com/spreadsheets/d/1QqKyyYR6Q21VydFLVH3TRQUabQu_ym0Zz7PgGX0-kHA/edit?usp=sharing"",""แผน!GB22"")"),13)</f>
        <v>13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IFERROR(__xludf.DUMMYFUNCTION("IMPORTRANGE(""https://docs.google.com/spreadsheets/d/1QqKyyYR6Q21VydFLVH3TRQUabQu_ym0Zz7PgGX0-kHA/edit?usp=sharing"",""แผน!GC22"")"),1)</f>
        <v>1</v>
      </c>
      <c r="J492" s="215"/>
      <c r="K492" s="466">
        <f ca="1">IF(I492&gt;0,J492*100/I492,0)</f>
        <v>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IFERROR(__xludf.DUMMYFUNCTION("IMPORTRANGE(""https://docs.google.com/spreadsheets/d/1QqKyyYR6Q21VydFLVH3TRQUabQu_ym0Zz7PgGX0-kHA/edit?usp=sharing"",""แผน!FY22"")"),1170)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IFERROR(__xludf.DUMMYFUNCTION("IMPORTRANGE(""https://docs.google.com/spreadsheets/d/1QqKyyYR6Q21VydFLVH3TRQUabQu_ym0Zz7PgGX0-kHA/edit?usp=sharing"",""แผน!GA22"")"),130)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6">L503+L504</f>
        <v>0</v>
      </c>
      <c r="M502" s="614">
        <f t="shared" si="216"/>
        <v>0</v>
      </c>
      <c r="N502" s="614">
        <f t="shared" si="216"/>
        <v>0</v>
      </c>
      <c r="O502" s="614">
        <f t="shared" ref="O502:O507" si="217">IF(L502&gt;0,N502*100/L502,0)</f>
        <v>0</v>
      </c>
      <c r="P502" s="614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6"/>
      <c r="D505" s="853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853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 hidden="1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5">I537</f>
        <v>0</v>
      </c>
      <c r="J522" s="675">
        <f t="shared" ca="1" si="225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IFERROR(__xludf.DUMMYFUNCTION("IMPORTRANGE(""https://docs.google.com/spreadsheets/d/1QqKyyYR6Q21VydFLVH3TRQUabQu_ym0Zz7PgGX0-kHA/edit?usp=sharing"",""แผน!GU22"")"),0)</f>
        <v>0</v>
      </c>
      <c r="J537" s="648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 hidden="1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IFERROR(__xludf.DUMMYFUNCTION("IMPORTRANGE(""https://docs.google.com/spreadsheets/d/1QqKyyYR6Q21VydFLVH3TRQUabQu_ym0Zz7PgGX0-kHA/edit?usp=sharing"",""แผน!GV22"")"),0)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 hidden="1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IFERROR(__xludf.DUMMYFUNCTION("IMPORTRANGE(""https://docs.google.com/spreadsheets/d/1QqKyyYR6Q21VydFLVH3TRQUabQu_ym0Zz7PgGX0-kHA/edit?usp=sharing"",""แผน!GW22"")"),0)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 hidden="1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IFERROR(__xludf.DUMMYFUNCTION("IMPORTRANGE(""https://docs.google.com/spreadsheets/d/1QqKyyYR6Q21VydFLVH3TRQUabQu_ym0Zz7PgGX0-kHA/edit?usp=sharing"",""แผน!GX22"")"),0)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 hidden="1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IFERROR(__xludf.DUMMYFUNCTION("IMPORTRANGE(""https://docs.google.com/spreadsheets/d/1QqKyyYR6Q21VydFLVH3TRQUabQu_ym0Zz7PgGX0-kHA/edit?usp=sharing"",""แผน!GY22"")"),0)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 hidden="1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IFERROR(__xludf.DUMMYFUNCTION("IMPORTRANGE(""https://docs.google.com/spreadsheets/d/1QqKyyYR6Q21VydFLVH3TRQUabQu_ym0Zz7PgGX0-kHA/edit?usp=sharing"",""แผน!GZ22"")"),0)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5">I559</f>
        <v>37505</v>
      </c>
      <c r="J543" s="654">
        <f t="shared" si="235"/>
        <v>0</v>
      </c>
      <c r="K543" s="655">
        <f t="shared" ca="1" si="234"/>
        <v>0</v>
      </c>
      <c r="L543" s="637"/>
      <c r="M543" s="637"/>
      <c r="N543" s="637"/>
      <c r="O543" s="637"/>
      <c r="P543" s="637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6">L545+L546</f>
        <v>365169</v>
      </c>
      <c r="M544" s="155">
        <f t="shared" si="236"/>
        <v>0</v>
      </c>
      <c r="N544" s="155">
        <f t="shared" si="236"/>
        <v>131490.01</v>
      </c>
      <c r="O544" s="155">
        <f t="shared" ref="O544:O549" ca="1" si="237">IF(L544&gt;0,N544*100/L544,0)</f>
        <v>36.007988082230419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39"/>
        <v>365169</v>
      </c>
      <c r="M546" s="93">
        <f t="shared" si="240"/>
        <v>0</v>
      </c>
      <c r="N546" s="93">
        <f t="shared" si="240"/>
        <v>131490.01</v>
      </c>
      <c r="O546" s="93">
        <f t="shared" ca="1" si="237"/>
        <v>36.007988082230419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1">L548+L549</f>
        <v>365169</v>
      </c>
      <c r="M547" s="466">
        <f t="shared" si="241"/>
        <v>0</v>
      </c>
      <c r="N547" s="466">
        <f t="shared" si="241"/>
        <v>131490.01</v>
      </c>
      <c r="O547" s="466">
        <f t="shared" ca="1" si="237"/>
        <v>36.007988082230419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IFERROR(__xludf.DUMMYFUNCTION("IMPORTRANGE(""https://docs.google.com/spreadsheets/d/1QqKyyYR6Q21VydFLVH3TRQUabQu_ym0Zz7PgGX0-kHA/edit?usp=sharing"",""แผน!HB22"")"),365169)</f>
        <v>365169</v>
      </c>
      <c r="M549" s="93">
        <v>0</v>
      </c>
      <c r="N549" s="93">
        <f>N550+N551+N552+N553+N554</f>
        <v>131490.01</v>
      </c>
      <c r="O549" s="93">
        <f t="shared" ca="1" si="237"/>
        <v>36.007988082230419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801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801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801">
        <v>51566.67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801">
        <v>79923.34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5">I576</f>
        <v>37505</v>
      </c>
      <c r="J559" s="675">
        <f t="shared" si="245"/>
        <v>0</v>
      </c>
      <c r="K559" s="644">
        <f t="shared" ref="K559:K561" ca="1" si="246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9"/>
      <c r="H560" s="734" t="s">
        <v>46</v>
      </c>
      <c r="I560" s="193">
        <f ca="1">IFERROR(__xludf.DUMMYFUNCTION("IMPORTRANGE(""https://docs.google.com/spreadsheets/d/1QqKyyYR6Q21VydFLVH3TRQUabQu_ym0Zz7PgGX0-kHA/edit?usp=sharing"",""แผน!HH22"")"),37505)</f>
        <v>37505</v>
      </c>
      <c r="J560" s="193">
        <f t="shared" ref="J560:J561" si="247">J562+J564+J566</f>
        <v>36267.15</v>
      </c>
      <c r="K560" s="380">
        <f t="shared" ca="1" si="246"/>
        <v>96.69950673243568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9"/>
      <c r="H561" s="734" t="s">
        <v>34</v>
      </c>
      <c r="I561" s="193">
        <f ca="1">IFERROR(__xludf.DUMMYFUNCTION("IMPORTRANGE(""https://docs.google.com/spreadsheets/d/1QqKyyYR6Q21VydFLVH3TRQUabQu_ym0Zz7PgGX0-kHA/edit?usp=sharing"",""แผน!HG22"")"),4678)</f>
        <v>4678</v>
      </c>
      <c r="J561" s="193">
        <f t="shared" si="247"/>
        <v>4514</v>
      </c>
      <c r="K561" s="380">
        <f t="shared" ca="1" si="246"/>
        <v>96.494228302693458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v>33040.660000000003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v>4253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v>2405.06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v>175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v>821.43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v>86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9"/>
      <c r="H568" s="734" t="s">
        <v>46</v>
      </c>
      <c r="I568" s="193">
        <f ca="1">IFERROR(__xludf.DUMMYFUNCTION("IMPORTRANGE(""https://docs.google.com/spreadsheets/d/1QqKyyYR6Q21VydFLVH3TRQUabQu_ym0Zz7PgGX0-kHA/edit?usp=sharing"",""แผน!HH22"")"),37505)</f>
        <v>37505</v>
      </c>
      <c r="J568" s="648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9"/>
      <c r="H569" s="734" t="s">
        <v>34</v>
      </c>
      <c r="I569" s="193">
        <f ca="1">IFERROR(__xludf.DUMMYFUNCTION("IMPORTRANGE(""https://docs.google.com/spreadsheets/d/1QqKyyYR6Q21VydFLVH3TRQUabQu_ym0Zz7PgGX0-kHA/edit?usp=sharing"",""แผน!HG22"")"),4678)</f>
        <v>4678</v>
      </c>
      <c r="J569" s="648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9"/>
      <c r="H576" s="734" t="s">
        <v>46</v>
      </c>
      <c r="I576" s="193">
        <f ca="1">IFERROR(__xludf.DUMMYFUNCTION("IMPORTRANGE(""https://docs.google.com/spreadsheets/d/1QqKyyYR6Q21VydFLVH3TRQUabQu_ym0Zz7PgGX0-kHA/edit?usp=sharing"",""แผน!HH22"")"),37505)</f>
        <v>37505</v>
      </c>
      <c r="J576" s="648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9"/>
      <c r="H577" s="734" t="s">
        <v>34</v>
      </c>
      <c r="I577" s="193">
        <f ca="1">IFERROR(__xludf.DUMMYFUNCTION("IMPORTRANGE(""https://docs.google.com/spreadsheets/d/1QqKyyYR6Q21VydFLVH3TRQUabQu_ym0Zz7PgGX0-kHA/edit?usp=sharing"",""แผน!HG22"")"),4678)</f>
        <v>4678</v>
      </c>
      <c r="J577" s="648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3">I593</f>
        <v>3059.22</v>
      </c>
      <c r="J592" s="675">
        <f t="shared" si="253"/>
        <v>0</v>
      </c>
      <c r="K592" s="644">
        <f t="shared" ref="K592:K594" ca="1" si="254">IF(I592&gt;0,J592*100/I592,0)</f>
        <v>0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IFERROR(__xludf.DUMMYFUNCTION("IMPORTRANGE(""https://docs.google.com/spreadsheets/d/1QqKyyYR6Q21VydFLVH3TRQUabQu_ym0Zz7PgGX0-kHA/edit?usp=sharing"",""แผน!HJ22"")"),3059.22)</f>
        <v>3059.22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IFERROR(__xludf.DUMMYFUNCTION("IMPORTRANGE(""https://docs.google.com/spreadsheets/d/1QqKyyYR6Q21VydFLVH3TRQUabQu_ym0Zz7PgGX0-kHA/edit?usp=sharing"",""แผน!HI22"")"),202)</f>
        <v>202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8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59">J614+J616</f>
        <v>0</v>
      </c>
      <c r="K612" s="684">
        <f t="shared" si="258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59"/>
        <v>0</v>
      </c>
      <c r="K613" s="684">
        <f t="shared" si="258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IFERROR(__xludf.DUMMYFUNCTION("IMPORTRANGE(""https://docs.google.com/spreadsheets/d/1QqKyyYR6Q21VydFLVH3TRQUabQu_ym0Zz7PgGX0-kHA/edit?usp=sharing"",""แผน!HL22"")"),6)</f>
        <v>6</v>
      </c>
      <c r="J620" s="695">
        <f t="shared" ref="J620:J621" si="260">J622+J624+J626</f>
        <v>0</v>
      </c>
      <c r="K620" s="696">
        <f t="shared" ref="K620:K621" ca="1" si="261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IFERROR(__xludf.DUMMYFUNCTION("IMPORTRANGE(""https://docs.google.com/spreadsheets/d/1QqKyyYR6Q21VydFLVH3TRQUabQu_ym0Zz7PgGX0-kHA/edit?usp=sharing"",""แผน!HK22"")"),2)</f>
        <v>2</v>
      </c>
      <c r="J621" s="695">
        <f t="shared" si="260"/>
        <v>0</v>
      </c>
      <c r="K621" s="696">
        <f t="shared" ca="1" si="261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262">I651</f>
        <v>100</v>
      </c>
      <c r="J628" s="708">
        <f t="shared" ca="1" si="262"/>
        <v>0</v>
      </c>
      <c r="K628" s="709">
        <f ca="1">IF(I628&gt;0,J628*100/I628,0)</f>
        <v>0</v>
      </c>
      <c r="L628" s="710"/>
      <c r="M628" s="710"/>
      <c r="N628" s="710"/>
      <c r="O628" s="710"/>
      <c r="P628" s="710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354995</v>
      </c>
      <c r="M629" s="195">
        <f t="shared" si="263"/>
        <v>0</v>
      </c>
      <c r="N629" s="195">
        <f t="shared" si="263"/>
        <v>94957.6</v>
      </c>
      <c r="O629" s="195">
        <f t="shared" ref="O629:O634" ca="1" si="264">IF(L629&gt;0,N629*100/L629,0)</f>
        <v>26.748996464738941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6"/>
        <v>354995</v>
      </c>
      <c r="M631" s="93">
        <f t="shared" si="266"/>
        <v>0</v>
      </c>
      <c r="N631" s="93">
        <f t="shared" si="266"/>
        <v>94957.6</v>
      </c>
      <c r="O631" s="93">
        <f t="shared" ca="1" si="264"/>
        <v>26.748996464738941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7">L633+L634</f>
        <v>354995</v>
      </c>
      <c r="M632" s="466">
        <f t="shared" si="267"/>
        <v>0</v>
      </c>
      <c r="N632" s="466">
        <f t="shared" si="267"/>
        <v>94957.6</v>
      </c>
      <c r="O632" s="466">
        <f t="shared" ca="1" si="264"/>
        <v>26.748996464738941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IFERROR(__xludf.DUMMYFUNCTION("IMPORTRANGE(""https://docs.google.com/spreadsheets/d/1QqKyyYR6Q21VydFLVH3TRQUabQu_ym0Zz7PgGX0-kHA/edit?usp=sharing"",""แผน!HN22"")"),354995)</f>
        <v>354995</v>
      </c>
      <c r="M634" s="93">
        <v>0</v>
      </c>
      <c r="N634" s="93">
        <f>N635+N636+N637+N638</f>
        <v>94957.6</v>
      </c>
      <c r="O634" s="93">
        <f t="shared" ca="1" si="264"/>
        <v>26.748996464738941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51566.67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v>43390.93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IFERROR(__xludf.DUMMYFUNCTION("IMPORTRANGE(""https://docs.google.com/spreadsheets/d/1QqKyyYR6Q21VydFLVH3TRQUabQu_ym0Zz7PgGX0-kHA/edit?usp=sharing"",""แผน!HR22"")"),0)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IFERROR(__xludf.DUMMYFUNCTION("IMPORTRANGE(""https://docs.google.com/spreadsheets/d/1QqKyyYR6Q21VydFLVH3TRQUabQu_ym0Zz7PgGX0-kHA/edit?usp=sharing"",""แผน!HR22"")"),0)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IFERROR(__xludf.DUMMYFUNCTION("IMPORTRANGE(""https://docs.google.com/spreadsheets/d/1XWAQStnk-4SwqDmLtmXYiTMKHgktTP8We1SCoS47DrQ/edit?usp=sharing"",""จัดที่ดิน!AS22"")"),0)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IFERROR(__xludf.DUMMYFUNCTION("IMPORTRANGE(""https://docs.google.com/spreadsheets/d/1XWAQStnk-4SwqDmLtmXYiTMKHgktTP8We1SCoS47DrQ/edit?usp=sharing"",""จัดที่ดิน!AT22"")"),0)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IFERROR(__xludf.DUMMYFUNCTION("IMPORTRANGE(""https://docs.google.com/spreadsheets/d/1QqKyyYR6Q21VydFLVH3TRQUabQu_ym0Zz7PgGX0-kHA/edit?usp=sharing"",""แผน!HS22"")"),100)</f>
        <v>100</v>
      </c>
      <c r="J647" s="270">
        <f ca="1">IFERROR(__xludf.DUMMYFUNCTION("IMPORTRANGE(""https://docs.google.com/spreadsheets/d/1XWAQStnk-4SwqDmLtmXYiTMKHgktTP8We1SCoS47DrQ/edit?usp=sharing"",""จัดที่ดิน!AU22"")"),32)</f>
        <v>32</v>
      </c>
      <c r="K647" s="163">
        <f t="shared" ca="1" si="271"/>
        <v>32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IFERROR(__xludf.DUMMYFUNCTION("IMPORTRANGE(""https://docs.google.com/spreadsheets/d/1XWAQStnk-4SwqDmLtmXYiTMKHgktTP8We1SCoS47DrQ/edit?usp=sharing"",""จัดที่ดิน!AV22"")"),41.46)</f>
        <v>41.46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IFERROR(__xludf.DUMMYFUNCTION("IMPORTRANGE(""https://docs.google.com/spreadsheets/d/1QqKyyYR6Q21VydFLVH3TRQUabQu_ym0Zz7PgGX0-kHA/edit?usp=sharing"",""แผน!HS22"")"),100)</f>
        <v>100</v>
      </c>
      <c r="J649" s="270">
        <f ca="1">IFERROR(__xludf.DUMMYFUNCTION("IMPORTRANGE(""https://docs.google.com/spreadsheets/d/1XWAQStnk-4SwqDmLtmXYiTMKHgktTP8We1SCoS47DrQ/edit?usp=sharing"",""จัดที่ดิน!AW22"")"),32)</f>
        <v>32</v>
      </c>
      <c r="K649" s="163">
        <f t="shared" ca="1" si="271"/>
        <v>32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IFERROR(__xludf.DUMMYFUNCTION("IMPORTRANGE(""https://docs.google.com/spreadsheets/d/1XWAQStnk-4SwqDmLtmXYiTMKHgktTP8We1SCoS47DrQ/edit?usp=sharing"",""จัดที่ดิน!AX22"")"),41.46)</f>
        <v>41.46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IFERROR(__xludf.DUMMYFUNCTION("IMPORTRANGE(""https://docs.google.com/spreadsheets/d/1QqKyyYR6Q21VydFLVH3TRQUabQu_ym0Zz7PgGX0-kHA/edit?usp=sharing"",""แผน!HS22"")"),100)</f>
        <v>100</v>
      </c>
      <c r="J651" s="270">
        <f ca="1">IFERROR(__xludf.DUMMYFUNCTION("IMPORTRANGE(""https://docs.google.com/spreadsheets/d/1XWAQStnk-4SwqDmLtmXYiTMKHgktTP8We1SCoS47DrQ/edit?usp=sharing"",""จัดที่ดิน!AY22"")"),0)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IFERROR(__xludf.DUMMYFUNCTION("IMPORTRANGE(""https://docs.google.com/spreadsheets/d/1XWAQStnk-4SwqDmLtmXYiTMKHgktTP8We1SCoS47DrQ/edit?usp=sharing"",""จัดที่ดิน!AZ22"")"),0)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2">I669</f>
        <v>50</v>
      </c>
      <c r="J654" s="675">
        <f t="shared" si="27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IFERROR(__xludf.DUMMYFUNCTION("IMPORTRANGE(""https://docs.google.com/spreadsheets/d/1QqKyyYR6Q21VydFLVH3TRQUabQu_ym0Zz7PgGX0-kHA/edit?usp=sharing"",""แผน!HV22"")"),9400)</f>
        <v>9400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IFERROR(__xludf.DUMMYFUNCTION("IMPORTRANGE(""https://docs.google.com/spreadsheets/d/1QqKyyYR6Q21VydFLVH3TRQUabQu_ym0Zz7PgGX0-kHA/edit?usp=sharing"",""แผน!IA22"")"),50)</f>
        <v>50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IFERROR(__xludf.DUMMYFUNCTION("IMPORTRANGE(""https://docs.google.com/spreadsheets/d/1QqKyyYR6Q21VydFLVH3TRQUabQu_ym0Zz7PgGX0-kHA/edit?usp=sharing"",""แผน!HZ22"")"),4)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IFERROR(__xludf.DUMMYFUNCTION("IMPORTRANGE(""https://docs.google.com/spreadsheets/d/1QqKyyYR6Q21VydFLVH3TRQUabQu_ym0Zz7PgGX0-kHA/edit?usp=sharing"",""แผน!HZ22"")"),4)</f>
        <v>4</v>
      </c>
      <c r="J671" s="215">
        <v>4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IFERROR(__xludf.DUMMYFUNCTION("IMPORTRANGE(""https://docs.google.com/spreadsheets/d/1QqKyyYR6Q21VydFLVH3TRQUabQu_ym0Zz7PgGX0-kHA/edit?usp=sharing"",""แผน!IB22"")"),0)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 hidden="1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 hidden="1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 hidden="1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 hidden="1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 hidden="1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 hidden="1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 hidden="1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 hidden="1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 hidden="1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 hidden="1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IFERROR(__xludf.DUMMYFUNCTION("IMPORTRANGE(""https://docs.google.com/spreadsheets/d/1QqKyyYR6Q21VydFLVH3TRQUabQu_ym0Zz7PgGX0-kHA/edit?usp=sharing"",""แผน!IC22"")"),0)</f>
        <v>0</v>
      </c>
      <c r="J699" s="270">
        <f ca="1">IFERROR(__xludf.DUMMYFUNCTION("IMPORTRANGE(""https://docs.google.com/spreadsheets/d/1XWAQStnk-4SwqDmLtmXYiTMKHgktTP8We1SCoS47DrQ/edit?usp=sharing"",""จัดที่ดิน!BB22"")"),0)</f>
        <v>0</v>
      </c>
      <c r="K699" s="466">
        <f t="shared" ref="K699:K701" ca="1" si="290">IF(I699&gt;0,J699*100/I699,0)</f>
        <v>0</v>
      </c>
      <c r="L699" s="466"/>
      <c r="M699" s="189"/>
      <c r="N699" s="733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 hidden="1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IFERROR(__xludf.DUMMYFUNCTION("IMPORTRANGE(""https://docs.google.com/spreadsheets/d/1QqKyyYR6Q21VydFLVH3TRQUabQu_ym0Zz7PgGX0-kHA/edit?usp=sharing"",""แผน!ID22"")"),0)</f>
        <v>0</v>
      </c>
      <c r="J700" s="270">
        <f ca="1">IFERROR(__xludf.DUMMYFUNCTION("IMPORTRANGE(""https://docs.google.com/spreadsheets/d/1XWAQStnk-4SwqDmLtmXYiTMKHgktTP8We1SCoS47DrQ/edit?usp=sharing"",""จัดที่ดิน!BD22"")"),0)</f>
        <v>0</v>
      </c>
      <c r="K700" s="466">
        <f t="shared" ca="1" si="290"/>
        <v>0</v>
      </c>
      <c r="L700" s="466"/>
      <c r="M700" s="189"/>
      <c r="N700" s="733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 hidden="1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IFERROR(__xludf.DUMMYFUNCTION("IMPORTRANGE(""https://docs.google.com/spreadsheets/d/1QqKyyYR6Q21VydFLVH3TRQUabQu_ym0Zz7PgGX0-kHA/edit?usp=sharing"",""แผน!IE22"")"),0)</f>
        <v>0</v>
      </c>
      <c r="J701" s="648">
        <f>J704+J707</f>
        <v>0</v>
      </c>
      <c r="K701" s="195">
        <f t="shared" ca="1" si="290"/>
        <v>0</v>
      </c>
      <c r="L701" s="466"/>
      <c r="M701" s="189"/>
      <c r="N701" s="733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 hidden="1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 hidden="1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 hidden="1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IFERROR(__xludf.DUMMYFUNCTION("IMPORTRANGE(""https://docs.google.com/spreadsheets/d/1QqKyyYR6Q21VydFLVH3TRQUabQu_ym0Zz7PgGX0-kHA/edit?usp=sharing"",""แผน!IF22"")"),0)</f>
        <v>0</v>
      </c>
      <c r="J704" s="215">
        <v>0</v>
      </c>
      <c r="K704" s="466"/>
      <c r="L704" s="466"/>
      <c r="M704" s="189"/>
      <c r="N704" s="733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 hidden="1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0</v>
      </c>
      <c r="K705" s="466"/>
      <c r="L705" s="466"/>
      <c r="M705" s="189"/>
      <c r="N705" s="733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 hidden="1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0</v>
      </c>
      <c r="K706" s="466"/>
      <c r="L706" s="466"/>
      <c r="M706" s="189"/>
      <c r="N706" s="733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 hidden="1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IFERROR(__xludf.DUMMYFUNCTION("IMPORTRANGE(""https://docs.google.com/spreadsheets/d/1QqKyyYR6Q21VydFLVH3TRQUabQu_ym0Zz7PgGX0-kHA/edit?usp=sharing"",""แผน!IG22"")"),0)</f>
        <v>0</v>
      </c>
      <c r="J707" s="215">
        <v>0</v>
      </c>
      <c r="K707" s="466"/>
      <c r="L707" s="466"/>
      <c r="M707" s="189"/>
      <c r="N707" s="733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 hidden="1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IFERROR(__xludf.DUMMYFUNCTION("IMPORTRANGE(""https://docs.google.com/spreadsheets/d/1QqKyyYR6Q21VydFLVH3TRQUabQu_ym0Zz7PgGX0-kHA/edit?usp=sharing"",""แผน!IH22"")"),0)</f>
        <v>0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 hidden="1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 hidden="1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 hidden="1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 hidden="1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 hidden="1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 hidden="1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 hidden="1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 hidden="1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 hidden="1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 hidden="1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IFERROR(__xludf.DUMMYFUNCTION("IMPORTRANGE(""https://docs.google.com/spreadsheets/d/1XWAQStnk-4SwqDmLtmXYiTMKHgktTP8We1SCoS47DrQ/edit?usp=sharing"",""จัดที่ดิน!BF22"")"),0)</f>
        <v>0</v>
      </c>
      <c r="K718" s="466"/>
      <c r="L718" s="466"/>
      <c r="M718" s="189"/>
      <c r="N718" s="733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 hidden="1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IFERROR(__xludf.DUMMYFUNCTION("IMPORTRANGE(""https://docs.google.com/spreadsheets/d/1XWAQStnk-4SwqDmLtmXYiTMKHgktTP8We1SCoS47DrQ/edit?usp=sharing"",""จัดที่ดิน!BG22"")"),0)</f>
        <v>0</v>
      </c>
      <c r="K719" s="466"/>
      <c r="L719" s="733"/>
      <c r="M719" s="189"/>
      <c r="N719" s="733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 hidden="1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IFERROR(__xludf.DUMMYFUNCTION("IMPORTRANGE(""https://docs.google.com/spreadsheets/d/1QqKyyYR6Q21VydFLVH3TRQUabQu_ym0Zz7PgGX0-kHA/edit?usp=sharing"",""แผน!II22"")"),0)</f>
        <v>0</v>
      </c>
      <c r="J720" s="270">
        <f ca="1">IFERROR(__xludf.DUMMYFUNCTION("IMPORTRANGE(""https://docs.google.com/spreadsheets/d/1XWAQStnk-4SwqDmLtmXYiTMKHgktTP8We1SCoS47DrQ/edit?usp=sharing"",""จัดที่ดิน!BH22"")"),0)</f>
        <v>0</v>
      </c>
      <c r="K720" s="466">
        <f t="shared" ref="K720:K723" ca="1" si="291">IF(I720&gt;0,J720*100/I720,0)</f>
        <v>0</v>
      </c>
      <c r="L720" s="733"/>
      <c r="M720" s="189"/>
      <c r="N720" s="733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 hidden="1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IFERROR(__xludf.DUMMYFUNCTION("IMPORTRANGE(""https://docs.google.com/spreadsheets/d/1QqKyyYR6Q21VydFLVH3TRQUabQu_ym0Zz7PgGX0-kHA/edit?usp=sharing"",""แผน!IJ22"")"),0)</f>
        <v>0</v>
      </c>
      <c r="J721" s="648">
        <f ca="1">J723+J726</f>
        <v>0</v>
      </c>
      <c r="K721" s="195">
        <f t="shared" ca="1" si="291"/>
        <v>0</v>
      </c>
      <c r="L721" s="733"/>
      <c r="M721" s="189"/>
      <c r="N721" s="733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 hidden="1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IFERROR(__xludf.DUMMYFUNCTION("IMPORTRANGE(""https://docs.google.com/spreadsheets/d/1QqKyyYR6Q21VydFLVH3TRQUabQu_ym0Zz7PgGX0-kHA/edit?usp=sharing"",""แผน!IK22"")"),0)</f>
        <v>0</v>
      </c>
      <c r="J722" s="648">
        <f ca="1">J725+J728</f>
        <v>0</v>
      </c>
      <c r="K722" s="195">
        <f t="shared" ca="1" si="291"/>
        <v>0</v>
      </c>
      <c r="L722" s="466"/>
      <c r="M722" s="189"/>
      <c r="N722" s="733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 hidden="1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IFERROR(__xludf.DUMMYFUNCTION("IMPORTRANGE(""https://docs.google.com/spreadsheets/d/1QqKyyYR6Q21VydFLVH3TRQUabQu_ym0Zz7PgGX0-kHA/edit?usp=sharing"",""แผน!IL22"")"),0)</f>
        <v>0</v>
      </c>
      <c r="J723" s="270">
        <f ca="1">IFERROR(__xludf.DUMMYFUNCTION("IMPORTRANGE(""https://docs.google.com/spreadsheets/d/1XWAQStnk-4SwqDmLtmXYiTMKHgktTP8We1SCoS47DrQ/edit?usp=sharing"",""จัดที่ดิน!BM22"")"),0)</f>
        <v>0</v>
      </c>
      <c r="K723" s="466">
        <f t="shared" ca="1" si="291"/>
        <v>0</v>
      </c>
      <c r="L723" s="466"/>
      <c r="M723" s="189"/>
      <c r="N723" s="733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 hidden="1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IFERROR(__xludf.DUMMYFUNCTION("IMPORTRANGE(""https://docs.google.com/spreadsheets/d/1XWAQStnk-4SwqDmLtmXYiTMKHgktTP8We1SCoS47DrQ/edit?usp=sharing"",""จัดที่ดิน!BN22"")"),0)</f>
        <v>0</v>
      </c>
      <c r="K724" s="466"/>
      <c r="L724" s="733"/>
      <c r="M724" s="189"/>
      <c r="N724" s="733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 hidden="1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IFERROR(__xludf.DUMMYFUNCTION("IMPORTRANGE(""https://docs.google.com/spreadsheets/d/1QqKyyYR6Q21VydFLVH3TRQUabQu_ym0Zz7PgGX0-kHA/edit?usp=sharing"",""แผน!IM22"")"),0)</f>
        <v>0</v>
      </c>
      <c r="J725" s="270">
        <f ca="1">IFERROR(__xludf.DUMMYFUNCTION("IMPORTRANGE(""https://docs.google.com/spreadsheets/d/1XWAQStnk-4SwqDmLtmXYiTMKHgktTP8We1SCoS47DrQ/edit?usp=sharing"",""จัดที่ดิน!BO22"")"),0)</f>
        <v>0</v>
      </c>
      <c r="K725" s="466">
        <f t="shared" ref="K725:K726" ca="1" si="292">IF(I725&gt;0,J725*100/I725,0)</f>
        <v>0</v>
      </c>
      <c r="L725" s="733"/>
      <c r="M725" s="189"/>
      <c r="N725" s="733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 hidden="1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IFERROR(__xludf.DUMMYFUNCTION("IMPORTRANGE(""https://docs.google.com/spreadsheets/d/1QqKyyYR6Q21VydFLVH3TRQUabQu_ym0Zz7PgGX0-kHA/edit?usp=sharing"",""แผน!IN22"")"),0)</f>
        <v>0</v>
      </c>
      <c r="J726" s="270">
        <f ca="1">IFERROR(__xludf.DUMMYFUNCTION("IMPORTRANGE(""https://docs.google.com/spreadsheets/d/1XWAQStnk-4SwqDmLtmXYiTMKHgktTP8We1SCoS47DrQ/edit?usp=sharing"",""จัดที่ดิน!BR22"")"),0)</f>
        <v>0</v>
      </c>
      <c r="K726" s="466">
        <f t="shared" ca="1" si="292"/>
        <v>0</v>
      </c>
      <c r="L726" s="466"/>
      <c r="M726" s="189"/>
      <c r="N726" s="733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 hidden="1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IFERROR(__xludf.DUMMYFUNCTION("IMPORTRANGE(""https://docs.google.com/spreadsheets/d/1XWAQStnk-4SwqDmLtmXYiTMKHgktTP8We1SCoS47DrQ/edit?usp=sharing"",""จัดที่ดิน!BS22"")"),0)</f>
        <v>0</v>
      </c>
      <c r="K727" s="466"/>
      <c r="L727" s="733"/>
      <c r="M727" s="189"/>
      <c r="N727" s="733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 hidden="1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IFERROR(__xludf.DUMMYFUNCTION("IMPORTRANGE(""https://docs.google.com/spreadsheets/d/1QqKyyYR6Q21VydFLVH3TRQUabQu_ym0Zz7PgGX0-kHA/edit?usp=sharing"",""แผน!IO22"")"),0)</f>
        <v>0</v>
      </c>
      <c r="J728" s="270">
        <f ca="1">IFERROR(__xludf.DUMMYFUNCTION("IMPORTRANGE(""https://docs.google.com/spreadsheets/d/1XWAQStnk-4SwqDmLtmXYiTMKHgktTP8We1SCoS47DrQ/edit?usp=sharing"",""จัดที่ดิน!BT22"")"),0)</f>
        <v>0</v>
      </c>
      <c r="K728" s="466">
        <f t="shared" ref="K728:K729" ca="1" si="293">IF(I728&gt;0,J728*100/I728,0)</f>
        <v>0</v>
      </c>
      <c r="L728" s="733"/>
      <c r="M728" s="189"/>
      <c r="N728" s="733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 hidden="1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IFERROR(__xludf.DUMMYFUNCTION("IMPORTRANGE(""https://docs.google.com/spreadsheets/d/1QqKyyYR6Q21VydFLVH3TRQUabQu_ym0Zz7PgGX0-kHA/edit?usp=sharing"",""แผน!IP22"")"),0)</f>
        <v>0</v>
      </c>
      <c r="J729" s="648">
        <f>J732+J735</f>
        <v>0</v>
      </c>
      <c r="K729" s="195">
        <f t="shared" ca="1" si="293"/>
        <v>0</v>
      </c>
      <c r="L729" s="466"/>
      <c r="M729" s="189"/>
      <c r="N729" s="733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 hidden="1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0</v>
      </c>
      <c r="K730" s="466"/>
      <c r="L730" s="733"/>
      <c r="M730" s="466"/>
      <c r="N730" s="733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 hidden="1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0</v>
      </c>
      <c r="K731" s="466"/>
      <c r="L731" s="733"/>
      <c r="M731" s="466"/>
      <c r="N731" s="733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 hidden="1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0</v>
      </c>
      <c r="K732" s="466"/>
      <c r="L732" s="733"/>
      <c r="M732" s="466"/>
      <c r="N732" s="733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 hidden="1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0</v>
      </c>
      <c r="K733" s="466"/>
      <c r="L733" s="733"/>
      <c r="M733" s="466"/>
      <c r="N733" s="733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 hidden="1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0</v>
      </c>
      <c r="K734" s="466"/>
      <c r="L734" s="733"/>
      <c r="M734" s="466"/>
      <c r="N734" s="733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 hidden="1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0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4">L738+L739</f>
        <v>0</v>
      </c>
      <c r="M737" s="614">
        <f t="shared" si="294"/>
        <v>0</v>
      </c>
      <c r="N737" s="614">
        <f t="shared" si="294"/>
        <v>0</v>
      </c>
      <c r="O737" s="614">
        <f t="shared" ref="O737:O742" si="295">IF(L737&gt;0,N737*100/L737,0)</f>
        <v>0</v>
      </c>
      <c r="P737" s="614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6"/>
      <c r="D740" s="805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8">L741+L742</f>
        <v>0</v>
      </c>
      <c r="M740" s="614">
        <f t="shared" si="298"/>
        <v>0</v>
      </c>
      <c r="N740" s="614">
        <f t="shared" si="298"/>
        <v>0</v>
      </c>
      <c r="O740" s="614">
        <f t="shared" si="295"/>
        <v>0</v>
      </c>
      <c r="P740" s="614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6"/>
      <c r="D747" s="805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299">L748+L749</f>
        <v>0</v>
      </c>
      <c r="M747" s="614">
        <f t="shared" si="299"/>
        <v>0</v>
      </c>
      <c r="N747" s="614">
        <f t="shared" si="299"/>
        <v>0</v>
      </c>
      <c r="O747" s="614">
        <f t="shared" ref="O747:O749" si="300">IF(L747&gt;0,N747*100/L747,0)</f>
        <v>0</v>
      </c>
      <c r="P747" s="614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2">L755+L756</f>
        <v>0</v>
      </c>
      <c r="M754" s="614">
        <f t="shared" si="302"/>
        <v>0</v>
      </c>
      <c r="N754" s="614">
        <f t="shared" si="302"/>
        <v>0</v>
      </c>
      <c r="O754" s="614">
        <f t="shared" ref="O754:O759" si="303">IF(L754&gt;0,N754*100/L754,0)</f>
        <v>0</v>
      </c>
      <c r="P754" s="614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6"/>
      <c r="D757" s="805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6">L758+L759</f>
        <v>0</v>
      </c>
      <c r="M757" s="614">
        <f t="shared" si="306"/>
        <v>0</v>
      </c>
      <c r="N757" s="614">
        <f t="shared" si="306"/>
        <v>0</v>
      </c>
      <c r="O757" s="614">
        <f t="shared" si="303"/>
        <v>0</v>
      </c>
      <c r="P757" s="614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6"/>
      <c r="D764" s="805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7">L765+L766</f>
        <v>0</v>
      </c>
      <c r="M764" s="614">
        <f t="shared" si="307"/>
        <v>0</v>
      </c>
      <c r="N764" s="614">
        <f t="shared" si="307"/>
        <v>0</v>
      </c>
      <c r="O764" s="614">
        <f t="shared" ref="O764:O766" si="308">IF(L764&gt;0,N764*100/L764,0)</f>
        <v>0</v>
      </c>
      <c r="P764" s="614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0">L771+L772</f>
        <v>0</v>
      </c>
      <c r="M770" s="614">
        <f t="shared" si="310"/>
        <v>0</v>
      </c>
      <c r="N770" s="614">
        <f t="shared" si="310"/>
        <v>0</v>
      </c>
      <c r="O770" s="614">
        <f t="shared" ref="O770:O775" si="311">IF(L770&gt;0,N770*100/L770,0)</f>
        <v>0</v>
      </c>
      <c r="P770" s="614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6"/>
      <c r="D773" s="805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4">L774+L775</f>
        <v>0</v>
      </c>
      <c r="M773" s="614">
        <f t="shared" si="314"/>
        <v>0</v>
      </c>
      <c r="N773" s="614">
        <f t="shared" si="314"/>
        <v>0</v>
      </c>
      <c r="O773" s="614">
        <f t="shared" si="311"/>
        <v>0</v>
      </c>
      <c r="P773" s="614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6"/>
      <c r="D780" s="805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5">L781+L782</f>
        <v>0</v>
      </c>
      <c r="M780" s="614">
        <f t="shared" si="315"/>
        <v>0</v>
      </c>
      <c r="N780" s="614">
        <f t="shared" si="315"/>
        <v>0</v>
      </c>
      <c r="O780" s="614">
        <f t="shared" ref="O780:O782" si="316">IF(L780&gt;0,N780*100/L780,0)</f>
        <v>0</v>
      </c>
      <c r="P780" s="614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871" t="s">
        <v>46</v>
      </c>
      <c r="I785" s="872">
        <f t="shared" ref="I785:J785" ca="1" si="318">I801+I803</f>
        <v>4000</v>
      </c>
      <c r="J785" s="872">
        <f t="shared" ca="1" si="318"/>
        <v>610</v>
      </c>
      <c r="K785" s="873">
        <f ca="1">IF(I785&gt;0,J785*100/I785,0)</f>
        <v>15.25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874" t="s">
        <v>12</v>
      </c>
      <c r="I786" s="875"/>
      <c r="J786" s="875"/>
      <c r="K786" s="876"/>
      <c r="L786" s="195">
        <f t="shared" ref="L786:N786" ca="1" si="319">L787+L788</f>
        <v>266560</v>
      </c>
      <c r="M786" s="195">
        <f t="shared" si="319"/>
        <v>0</v>
      </c>
      <c r="N786" s="195">
        <f t="shared" si="319"/>
        <v>79896.69</v>
      </c>
      <c r="O786" s="195">
        <f t="shared" ref="O786:O791" ca="1" si="320">IF(L786&gt;0,N786*100/L786,0)</f>
        <v>29.973248049219688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6"/>
      <c r="D787" s="687"/>
      <c r="E787" s="726" t="s">
        <v>184</v>
      </c>
      <c r="F787" s="726"/>
      <c r="G787" s="568"/>
      <c r="H787" s="877" t="s">
        <v>12</v>
      </c>
      <c r="I787" s="875"/>
      <c r="J787" s="875"/>
      <c r="K787" s="87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6" t="s">
        <v>185</v>
      </c>
      <c r="F788" s="726"/>
      <c r="G788" s="568"/>
      <c r="H788" s="877" t="s">
        <v>12</v>
      </c>
      <c r="I788" s="875"/>
      <c r="J788" s="875"/>
      <c r="K788" s="876"/>
      <c r="L788" s="93">
        <f t="shared" ca="1" si="322"/>
        <v>266560</v>
      </c>
      <c r="M788" s="93">
        <f t="shared" si="322"/>
        <v>0</v>
      </c>
      <c r="N788" s="93">
        <f t="shared" si="322"/>
        <v>79896.69</v>
      </c>
      <c r="O788" s="93">
        <f t="shared" ca="1" si="320"/>
        <v>29.973248049219688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730"/>
      <c r="F789" s="730"/>
      <c r="G789" s="189"/>
      <c r="H789" s="878" t="s">
        <v>12</v>
      </c>
      <c r="I789" s="879"/>
      <c r="J789" s="879"/>
      <c r="K789" s="880"/>
      <c r="L789" s="466">
        <f t="shared" ref="L789:N789" ca="1" si="323">L790+L791</f>
        <v>266560</v>
      </c>
      <c r="M789" s="466">
        <f t="shared" si="323"/>
        <v>0</v>
      </c>
      <c r="N789" s="466">
        <f t="shared" si="323"/>
        <v>79896.69</v>
      </c>
      <c r="O789" s="466">
        <f t="shared" ca="1" si="320"/>
        <v>29.973248049219688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6" t="s">
        <v>184</v>
      </c>
      <c r="F790" s="726"/>
      <c r="G790" s="568"/>
      <c r="H790" s="877" t="s">
        <v>12</v>
      </c>
      <c r="I790" s="875"/>
      <c r="J790" s="875"/>
      <c r="K790" s="87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6" t="s">
        <v>185</v>
      </c>
      <c r="F791" s="726"/>
      <c r="G791" s="568"/>
      <c r="H791" s="877" t="s">
        <v>12</v>
      </c>
      <c r="I791" s="875"/>
      <c r="J791" s="875"/>
      <c r="K791" s="876"/>
      <c r="L791" s="93">
        <f ca="1">IFERROR(__xludf.DUMMYFUNCTION("IMPORTRANGE(""https://docs.google.com/spreadsheets/d/1QqKyyYR6Q21VydFLVH3TRQUabQu_ym0Zz7PgGX0-kHA/edit?usp=sharing"",""แผน!JJ22"")"),266560)</f>
        <v>266560</v>
      </c>
      <c r="M791" s="93">
        <v>0</v>
      </c>
      <c r="N791" s="93">
        <f>N792+N793+N794+N795</f>
        <v>79896.69</v>
      </c>
      <c r="O791" s="93">
        <f t="shared" ca="1" si="320"/>
        <v>29.973248049219688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730"/>
      <c r="D792" s="730"/>
      <c r="E792" s="730"/>
      <c r="F792" s="730" t="s">
        <v>186</v>
      </c>
      <c r="G792" s="189"/>
      <c r="H792" s="878" t="s">
        <v>12</v>
      </c>
      <c r="I792" s="875"/>
      <c r="J792" s="875"/>
      <c r="K792" s="876"/>
      <c r="L792" s="466"/>
      <c r="M792" s="466"/>
      <c r="N792" s="801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730"/>
      <c r="D793" s="730"/>
      <c r="E793" s="730"/>
      <c r="F793" s="730" t="s">
        <v>187</v>
      </c>
      <c r="G793" s="189"/>
      <c r="H793" s="878" t="s">
        <v>12</v>
      </c>
      <c r="I793" s="875"/>
      <c r="J793" s="875"/>
      <c r="K793" s="876"/>
      <c r="L793" s="466"/>
      <c r="M793" s="466"/>
      <c r="N793" s="801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730"/>
      <c r="D794" s="730"/>
      <c r="E794" s="730"/>
      <c r="F794" s="730" t="s">
        <v>188</v>
      </c>
      <c r="G794" s="189"/>
      <c r="H794" s="878" t="s">
        <v>12</v>
      </c>
      <c r="I794" s="875"/>
      <c r="J794" s="875"/>
      <c r="K794" s="876"/>
      <c r="L794" s="466"/>
      <c r="M794" s="466"/>
      <c r="N794" s="801">
        <v>44416.69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730"/>
      <c r="D795" s="730"/>
      <c r="E795" s="730"/>
      <c r="F795" s="730" t="s">
        <v>189</v>
      </c>
      <c r="G795" s="189"/>
      <c r="H795" s="878" t="s">
        <v>12</v>
      </c>
      <c r="I795" s="875"/>
      <c r="J795" s="875"/>
      <c r="K795" s="876"/>
      <c r="L795" s="466"/>
      <c r="M795" s="466"/>
      <c r="N795" s="801">
        <v>35480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730"/>
      <c r="D796" s="571" t="s">
        <v>21</v>
      </c>
      <c r="E796" s="730"/>
      <c r="F796" s="730"/>
      <c r="G796" s="189"/>
      <c r="H796" s="881" t="s">
        <v>12</v>
      </c>
      <c r="I796" s="879"/>
      <c r="J796" s="879"/>
      <c r="K796" s="880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6"/>
      <c r="D797" s="726"/>
      <c r="E797" s="726" t="s">
        <v>18</v>
      </c>
      <c r="F797" s="726"/>
      <c r="G797" s="568"/>
      <c r="H797" s="877" t="s">
        <v>12</v>
      </c>
      <c r="I797" s="879"/>
      <c r="J797" s="879"/>
      <c r="K797" s="88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6"/>
      <c r="D798" s="726"/>
      <c r="E798" s="726" t="s">
        <v>19</v>
      </c>
      <c r="F798" s="726"/>
      <c r="G798" s="568"/>
      <c r="H798" s="882" t="s">
        <v>12</v>
      </c>
      <c r="I798" s="879"/>
      <c r="J798" s="879"/>
      <c r="K798" s="88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883"/>
      <c r="I799" s="879"/>
      <c r="J799" s="879"/>
      <c r="K799" s="880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85"/>
      <c r="C800" s="585"/>
      <c r="D800" s="585"/>
      <c r="E800" s="593"/>
      <c r="F800" s="593" t="s">
        <v>320</v>
      </c>
      <c r="G800" s="729"/>
      <c r="H800" s="884" t="s">
        <v>34</v>
      </c>
      <c r="I800" s="879"/>
      <c r="J800" s="885">
        <f ca="1">IFERROR(__xludf.DUMMYFUNCTION("IMPORTRANGE(""https://docs.google.com/spreadsheets/d/1MaWodYyGHDf7siQLGxnXhG4mBNTNIuy296niS2xXulU/edit?usp=sharing"",""RTK!H22"")"),36)</f>
        <v>36</v>
      </c>
      <c r="K800" s="876"/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85"/>
      <c r="C801" s="585"/>
      <c r="D801" s="585"/>
      <c r="E801" s="593"/>
      <c r="F801" s="593"/>
      <c r="G801" s="729"/>
      <c r="H801" s="878" t="s">
        <v>46</v>
      </c>
      <c r="I801" s="885">
        <f ca="1">IFERROR(__xludf.DUMMYFUNCTION("IMPORTRANGE(""https://docs.google.com/spreadsheets/d/1MaWodYyGHDf7siQLGxnXhG4mBNTNIuy296niS2xXulU/edit?usp=sharing"",""RTK!G22"")"),4000)</f>
        <v>4000</v>
      </c>
      <c r="J801" s="886">
        <f ca="1">IFERROR(__xludf.DUMMYFUNCTION("IMPORTRANGE(""https://docs.google.com/spreadsheets/d/1MaWodYyGHDf7siQLGxnXhG4mBNTNIuy296niS2xXulU/edit?usp=sharing"",""RTK!I22"")"),610)</f>
        <v>610</v>
      </c>
      <c r="K801" s="887">
        <f ca="1">IF(I801&gt;0,J801*100/I801,0)</f>
        <v>15.25</v>
      </c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579"/>
      <c r="B802" s="581"/>
      <c r="C802" s="581"/>
      <c r="D802" s="581"/>
      <c r="E802" s="687"/>
      <c r="F802" s="783" t="s">
        <v>321</v>
      </c>
      <c r="G802" s="582"/>
      <c r="H802" s="884" t="s">
        <v>34</v>
      </c>
      <c r="I802" s="879"/>
      <c r="J802" s="885">
        <f ca="1">IFERROR(__xludf.DUMMYFUNCTION("IMPORTRANGE(""https://docs.google.com/spreadsheets/d/1MaWodYyGHDf7siQLGxnXhG4mBNTNIuy296niS2xXulU/edit?usp=sharing"",""RTK!L22"")"),0)</f>
        <v>0</v>
      </c>
      <c r="K802" s="876"/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>
      <c r="A803" s="579"/>
      <c r="B803" s="581"/>
      <c r="C803" s="581"/>
      <c r="D803" s="581"/>
      <c r="E803" s="687"/>
      <c r="F803" s="687"/>
      <c r="G803" s="582"/>
      <c r="H803" s="884" t="s">
        <v>46</v>
      </c>
      <c r="I803" s="885">
        <f ca="1">IFERROR(__xludf.DUMMYFUNCTION("IMPORTRANGE(""https://docs.google.com/spreadsheets/d/1MaWodYyGHDf7siQLGxnXhG4mBNTNIuy296niS2xXulU/edit?usp=sharing"",""RTK!K22"")"),0)</f>
        <v>0</v>
      </c>
      <c r="J803" s="886">
        <f ca="1">IFERROR(__xludf.DUMMYFUNCTION("IMPORTRANGE(""https://docs.google.com/spreadsheets/d/1MaWodYyGHDf7siQLGxnXhG4mBNTNIuy296niS2xXulU/edit?usp=sharing"",""RTK!M22"")"),0)</f>
        <v>0</v>
      </c>
      <c r="K803" s="887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 t="shared" si="327"/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8">L806+L807</f>
        <v>0</v>
      </c>
      <c r="M805" s="614">
        <f t="shared" si="328"/>
        <v>0</v>
      </c>
      <c r="N805" s="614">
        <f t="shared" si="328"/>
        <v>0</v>
      </c>
      <c r="O805" s="614">
        <f t="shared" ref="O805:O810" si="329">IF(L805&gt;0,N805*100/L805,0)</f>
        <v>0</v>
      </c>
      <c r="P805" s="614">
        <f t="shared" ref="P805:P810" si="330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2">L809+L810</f>
        <v>0</v>
      </c>
      <c r="M808" s="614">
        <f t="shared" si="332"/>
        <v>0</v>
      </c>
      <c r="N808" s="614">
        <f t="shared" si="332"/>
        <v>0</v>
      </c>
      <c r="O808" s="614">
        <f t="shared" si="329"/>
        <v>0</v>
      </c>
      <c r="P808" s="614">
        <f t="shared" si="330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3">L816+L817</f>
        <v>0</v>
      </c>
      <c r="M815" s="614">
        <f t="shared" si="333"/>
        <v>0</v>
      </c>
      <c r="N815" s="614">
        <f t="shared" si="333"/>
        <v>0</v>
      </c>
      <c r="O815" s="614">
        <f t="shared" ref="O815:O817" si="334">IF(L815&gt;0,N815*100/L815,0)</f>
        <v>0</v>
      </c>
      <c r="P815" s="614">
        <f t="shared" ref="P815:P817" si="335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55" t="s">
        <v>332</v>
      </c>
      <c r="B820" s="856"/>
      <c r="C820" s="856"/>
      <c r="D820" s="857"/>
      <c r="E820" s="856"/>
      <c r="F820" s="856"/>
      <c r="G820" s="858"/>
      <c r="H820" s="8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60"/>
      <c r="J820" s="860"/>
      <c r="K820" s="861"/>
      <c r="L820" s="861"/>
      <c r="M820" s="861"/>
      <c r="N820" s="861"/>
      <c r="O820" s="861"/>
      <c r="P820" s="86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IFERROR(__xludf.DUMMYFUNCTION("IMPORTRANGE(""https://docs.google.com/spreadsheets/d/19vJNZY_5yjcGF2XGBMNZRCAIB0Kwfpjp8YEOfu-bneM/edit?usp=sharing"",""งานกองทุน!D22"")"),3983214.83)</f>
        <v>3983214.83</v>
      </c>
      <c r="J821" s="270">
        <f ca="1">IFERROR(__xludf.DUMMYFUNCTION("IMPORTRANGE(""https://docs.google.com/spreadsheets/d/19vJNZY_5yjcGF2XGBMNZRCAIB0Kwfpjp8YEOfu-bneM/edit?usp=sharing"",""งานกองทุน!F22"")"),829343)</f>
        <v>829343</v>
      </c>
      <c r="K821" s="466">
        <f t="shared" ref="K821:K828" ca="1" si="336">IF(I821&gt;0,J821*100/I821,0)</f>
        <v>20.820945778613702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IFERROR(__xludf.DUMMYFUNCTION("IMPORTRANGE(""https://docs.google.com/spreadsheets/d/19vJNZY_5yjcGF2XGBMNZRCAIB0Kwfpjp8YEOfu-bneM/edit?usp=sharing"",""งานกองทุน!C22"")"),308)</f>
        <v>308</v>
      </c>
      <c r="J822" s="270">
        <f ca="1">IFERROR(__xludf.DUMMYFUNCTION("IMPORTRANGE(""https://docs.google.com/spreadsheets/d/19vJNZY_5yjcGF2XGBMNZRCAIB0Kwfpjp8YEOfu-bneM/edit?usp=sharing"",""งานกองทุน!E22"")"),55)</f>
        <v>55</v>
      </c>
      <c r="K822" s="466">
        <f t="shared" ca="1" si="336"/>
        <v>17.857142857142858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IFERROR(__xludf.DUMMYFUNCTION("IMPORTRANGE(""https://docs.google.com/spreadsheets/d/19vJNZY_5yjcGF2XGBMNZRCAIB0Kwfpjp8YEOfu-bneM/edit?usp=sharing"",""งานกองทุน!I22"")"),2514470.56)</f>
        <v>2514470.56</v>
      </c>
      <c r="J823" s="270">
        <f ca="1">IFERROR(__xludf.DUMMYFUNCTION("IMPORTRANGE(""https://docs.google.com/spreadsheets/d/19vJNZY_5yjcGF2XGBMNZRCAIB0Kwfpjp8YEOfu-bneM/edit?usp=sharing"",""งานกองทุน!K22"")"),142776.23)</f>
        <v>142776.23000000001</v>
      </c>
      <c r="K823" s="466">
        <f t="shared" ca="1" si="336"/>
        <v>5.6781826071568728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IFERROR(__xludf.DUMMYFUNCTION("IMPORTRANGE(""https://docs.google.com/spreadsheets/d/19vJNZY_5yjcGF2XGBMNZRCAIB0Kwfpjp8YEOfu-bneM/edit?usp=sharing"",""งานกองทุน!H22"")"),91)</f>
        <v>91</v>
      </c>
      <c r="J824" s="270">
        <f ca="1">IFERROR(__xludf.DUMMYFUNCTION("IMPORTRANGE(""https://docs.google.com/spreadsheets/d/19vJNZY_5yjcGF2XGBMNZRCAIB0Kwfpjp8YEOfu-bneM/edit?usp=sharing"",""งานกองทุน!J22"")"),58)</f>
        <v>58</v>
      </c>
      <c r="K824" s="466">
        <f t="shared" ca="1" si="336"/>
        <v>63.736263736263737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IFERROR(__xludf.DUMMYFUNCTION("IMPORTRANGE(""https://docs.google.com/spreadsheets/d/19vJNZY_5yjcGF2XGBMNZRCAIB0Kwfpjp8YEOfu-bneM/edit?usp=sharing"",""งานกองทุน!N22"")"),0)</f>
        <v>0</v>
      </c>
      <c r="J825" s="270">
        <f ca="1">IFERROR(__xludf.DUMMYFUNCTION("IMPORTRANGE(""https://docs.google.com/spreadsheets/d/19vJNZY_5yjcGF2XGBMNZRCAIB0Kwfpjp8YEOfu-bneM/edit?usp=sharing"",""งานกองทุน!P22"")"),0)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IFERROR(__xludf.DUMMYFUNCTION("IMPORTRANGE(""https://docs.google.com/spreadsheets/d/19vJNZY_5yjcGF2XGBMNZRCAIB0Kwfpjp8YEOfu-bneM/edit?usp=sharing"",""งานกองทุน!M22"")"),0)</f>
        <v>0</v>
      </c>
      <c r="J826" s="270">
        <f ca="1">IFERROR(__xludf.DUMMYFUNCTION("IMPORTRANGE(""https://docs.google.com/spreadsheets/d/19vJNZY_5yjcGF2XGBMNZRCAIB0Kwfpjp8YEOfu-bneM/edit?usp=sharing"",""งานกองทุน!O22"")"),0)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IFERROR(__xludf.DUMMYFUNCTION("IMPORTRANGE(""https://docs.google.com/spreadsheets/d/19vJNZY_5yjcGF2XGBMNZRCAIB0Kwfpjp8YEOfu-bneM/edit?usp=sharing"",""งานกองทุน!S22"")"),4350000)</f>
        <v>4350000</v>
      </c>
      <c r="J827" s="270">
        <f ca="1">IFERROR(__xludf.DUMMYFUNCTION("IMPORTRANGE(""https://docs.google.com/spreadsheets/d/19vJNZY_5yjcGF2XGBMNZRCAIB0Kwfpjp8YEOfu-bneM/edit?usp=sharing"",""งานกองทุน!U22"")"),0)</f>
        <v>0</v>
      </c>
      <c r="K827" s="466">
        <f t="shared" ca="1" si="336"/>
        <v>0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IFERROR(__xludf.DUMMYFUNCTION("IMPORTRANGE(""https://docs.google.com/spreadsheets/d/19vJNZY_5yjcGF2XGBMNZRCAIB0Kwfpjp8YEOfu-bneM/edit?usp=sharing"",""งานกองทุน!R22"")"),174)</f>
        <v>174</v>
      </c>
      <c r="J828" s="469">
        <f ca="1">IFERROR(__xludf.DUMMYFUNCTION("IMPORTRANGE(""https://docs.google.com/spreadsheets/d/19vJNZY_5yjcGF2XGBMNZRCAIB0Kwfpjp8YEOfu-bneM/edit?usp=sharing"",""งานกองทุน!T22"")"),0)</f>
        <v>0</v>
      </c>
      <c r="K828" s="470">
        <f t="shared" ca="1" si="336"/>
        <v>0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E5FC3-0C5E-4104-A510-2C0DD7A0FDA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4" customWidth="1"/>
    <col min="4" max="6" width="5.85546875" style="804" customWidth="1"/>
    <col min="7" max="7" width="56.42578125" style="804" customWidth="1"/>
    <col min="8" max="8" width="9.42578125" style="804" customWidth="1"/>
    <col min="9" max="9" width="18.7109375" style="804" bestFit="1" customWidth="1"/>
    <col min="10" max="10" width="16.85546875" style="804" bestFit="1" customWidth="1"/>
    <col min="11" max="11" width="12.5703125" style="804" customWidth="1"/>
    <col min="12" max="13" width="20.28515625" style="804" bestFit="1" customWidth="1"/>
    <col min="14" max="14" width="21.28515625" style="804" bestFit="1" customWidth="1"/>
    <col min="15" max="16" width="17.5703125" style="804" customWidth="1"/>
    <col min="17" max="16384" width="12.5703125" style="804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345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7690187</v>
      </c>
      <c r="M8" s="22">
        <f t="shared" ca="1" si="0"/>
        <v>3924293</v>
      </c>
      <c r="N8" s="22">
        <f t="shared" ca="1" si="0"/>
        <v>3071695.09</v>
      </c>
      <c r="O8" s="22">
        <f t="shared" ref="O8:O16" ca="1" si="1">IF(L8&gt;0,N8*100/L8,0)</f>
        <v>39.943048068922124</v>
      </c>
      <c r="P8" s="22">
        <f t="shared" ref="P8:P16" ca="1" si="2">IF(M8&gt;0,N8*100/M8,0)</f>
        <v>78.273846779534551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7690187</v>
      </c>
      <c r="M10" s="30">
        <f t="shared" ca="1" si="3"/>
        <v>3924293</v>
      </c>
      <c r="N10" s="30">
        <f t="shared" ca="1" si="3"/>
        <v>3071695.09</v>
      </c>
      <c r="O10" s="30">
        <f t="shared" ca="1" si="1"/>
        <v>39.943048068922124</v>
      </c>
      <c r="P10" s="30">
        <f t="shared" ca="1" si="2"/>
        <v>78.273846779534551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6963287</v>
      </c>
      <c r="M11" s="466">
        <f t="shared" ca="1" si="4"/>
        <v>3200893</v>
      </c>
      <c r="N11" s="466">
        <f t="shared" ca="1" si="4"/>
        <v>2348295.09</v>
      </c>
      <c r="O11" s="466">
        <f t="shared" ca="1" si="1"/>
        <v>33.723945171296258</v>
      </c>
      <c r="P11" s="466">
        <f t="shared" ca="1" si="2"/>
        <v>73.36374849143661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6963287</v>
      </c>
      <c r="M13" s="93">
        <f t="shared" ca="1" si="5"/>
        <v>3200893</v>
      </c>
      <c r="N13" s="93">
        <f t="shared" ca="1" si="5"/>
        <v>2348295.09</v>
      </c>
      <c r="O13" s="93">
        <f t="shared" ca="1" si="1"/>
        <v>33.723945171296258</v>
      </c>
      <c r="P13" s="93">
        <f t="shared" ca="1" si="2"/>
        <v>73.36374849143661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726900</v>
      </c>
      <c r="M14" s="466">
        <f t="shared" ca="1" si="6"/>
        <v>723400</v>
      </c>
      <c r="N14" s="466">
        <f t="shared" ca="1" si="6"/>
        <v>723400</v>
      </c>
      <c r="O14" s="466">
        <f t="shared" ca="1" si="1"/>
        <v>99.518503232906866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726900</v>
      </c>
      <c r="M16" s="52">
        <f t="shared" ca="1" si="7"/>
        <v>723400</v>
      </c>
      <c r="N16" s="52">
        <f t="shared" ca="1" si="7"/>
        <v>723400</v>
      </c>
      <c r="O16" s="52">
        <f t="shared" ca="1" si="1"/>
        <v>99.518503232906866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4835024</v>
      </c>
      <c r="M18" s="22">
        <f t="shared" ca="1" si="8"/>
        <v>3924293</v>
      </c>
      <c r="N18" s="22">
        <f t="shared" ca="1" si="8"/>
        <v>2350188.4900000002</v>
      </c>
      <c r="O18" s="22">
        <f t="shared" ref="O18:O26" ca="1" si="9">IF(L18&gt;0,N18*100/L18,0)</f>
        <v>48.60758684962061</v>
      </c>
      <c r="P18" s="22">
        <f t="shared" ref="P18:P26" ca="1" si="10">IF(M18&gt;0,N18*100/M18,0)</f>
        <v>59.888201263259404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4835024</v>
      </c>
      <c r="M20" s="30">
        <f t="shared" ca="1" si="11"/>
        <v>3924293</v>
      </c>
      <c r="N20" s="30">
        <f t="shared" ca="1" si="11"/>
        <v>2350188.4900000002</v>
      </c>
      <c r="O20" s="30">
        <f t="shared" ca="1" si="9"/>
        <v>48.60758684962061</v>
      </c>
      <c r="P20" s="30">
        <f t="shared" ca="1" si="10"/>
        <v>59.888201263259404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4108124</v>
      </c>
      <c r="M21" s="466">
        <f t="shared" ca="1" si="12"/>
        <v>3200893</v>
      </c>
      <c r="N21" s="466">
        <f t="shared" ca="1" si="12"/>
        <v>1626788.49</v>
      </c>
      <c r="O21" s="466">
        <f t="shared" ca="1" si="9"/>
        <v>39.599303477694441</v>
      </c>
      <c r="P21" s="466">
        <f t="shared" ca="1" si="10"/>
        <v>50.822957530914032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4108124</v>
      </c>
      <c r="M23" s="93">
        <f t="shared" ca="1" si="13"/>
        <v>3200893</v>
      </c>
      <c r="N23" s="93">
        <f t="shared" ca="1" si="13"/>
        <v>1626788.49</v>
      </c>
      <c r="O23" s="93">
        <f t="shared" ca="1" si="9"/>
        <v>39.599303477694441</v>
      </c>
      <c r="P23" s="93">
        <f t="shared" ca="1" si="10"/>
        <v>50.822957530914032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726900</v>
      </c>
      <c r="M24" s="466">
        <f t="shared" ca="1" si="14"/>
        <v>723400</v>
      </c>
      <c r="N24" s="466">
        <f t="shared" ca="1" si="14"/>
        <v>723400</v>
      </c>
      <c r="O24" s="466">
        <f t="shared" ca="1" si="9"/>
        <v>99.518503232906866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726900</v>
      </c>
      <c r="M26" s="52">
        <f t="shared" ca="1" si="15"/>
        <v>723400</v>
      </c>
      <c r="N26" s="52">
        <f t="shared" ca="1" si="15"/>
        <v>723400</v>
      </c>
      <c r="O26" s="52">
        <f t="shared" ca="1" si="9"/>
        <v>99.518503232906866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2855163</v>
      </c>
      <c r="M28" s="22">
        <f t="shared" si="16"/>
        <v>0</v>
      </c>
      <c r="N28" s="22">
        <f t="shared" si="16"/>
        <v>721506.60000000009</v>
      </c>
      <c r="O28" s="22">
        <f t="shared" ref="O28:O37" ca="1" si="17">IF(L28&gt;0,N28*100/L28,0)</f>
        <v>25.270242014203749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2855163</v>
      </c>
      <c r="M30" s="30">
        <f t="shared" si="19"/>
        <v>0</v>
      </c>
      <c r="N30" s="30">
        <f t="shared" si="19"/>
        <v>721506.60000000009</v>
      </c>
      <c r="O30" s="30">
        <f t="shared" ca="1" si="17"/>
        <v>25.270242014203749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2855163</v>
      </c>
      <c r="M31" s="466">
        <f t="shared" si="20"/>
        <v>0</v>
      </c>
      <c r="N31" s="466">
        <f t="shared" si="20"/>
        <v>721506.60000000009</v>
      </c>
      <c r="O31" s="466">
        <f t="shared" ca="1" si="17"/>
        <v>25.270242014203749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2855163</v>
      </c>
      <c r="M33" s="93">
        <f t="shared" si="21"/>
        <v>0</v>
      </c>
      <c r="N33" s="93">
        <f t="shared" si="21"/>
        <v>721506.60000000009</v>
      </c>
      <c r="O33" s="93">
        <f t="shared" ca="1" si="17"/>
        <v>25.270242014203749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4835024</v>
      </c>
      <c r="M37" s="812">
        <f t="shared" ca="1" si="24"/>
        <v>3924293</v>
      </c>
      <c r="N37" s="812">
        <f t="shared" ca="1" si="24"/>
        <v>2350188.4900000002</v>
      </c>
      <c r="O37" s="812">
        <f t="shared" ca="1" si="17"/>
        <v>48.60758684962061</v>
      </c>
      <c r="P37" s="812">
        <f t="shared" ca="1" si="18"/>
        <v>59.888201263259404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508544</v>
      </c>
      <c r="M41" s="85">
        <f t="shared" ca="1" si="25"/>
        <v>522723</v>
      </c>
      <c r="N41" s="85">
        <f t="shared" ca="1" si="25"/>
        <v>252544</v>
      </c>
      <c r="O41" s="85">
        <f t="shared" ref="O41:O49" ca="1" si="26">IF(L41&gt;0,N41*100/L41,0)</f>
        <v>49.660206393153786</v>
      </c>
      <c r="P41" s="85">
        <f t="shared" ref="P41:P49" ca="1" si="27">IF(M41&gt;0,N41*100/M41,0)</f>
        <v>48.313160124961023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508544</v>
      </c>
      <c r="M43" s="92">
        <f t="shared" ca="1" si="28"/>
        <v>522723</v>
      </c>
      <c r="N43" s="92">
        <f t="shared" ca="1" si="28"/>
        <v>252544</v>
      </c>
      <c r="O43" s="92">
        <f t="shared" ca="1" si="26"/>
        <v>49.660206393153786</v>
      </c>
      <c r="P43" s="92">
        <f t="shared" ca="1" si="27"/>
        <v>48.313160124961023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508544</v>
      </c>
      <c r="M44" s="466">
        <f t="shared" ca="1" si="29"/>
        <v>522723</v>
      </c>
      <c r="N44" s="466">
        <f t="shared" ca="1" si="29"/>
        <v>252544</v>
      </c>
      <c r="O44" s="466">
        <f t="shared" ca="1" si="26"/>
        <v>49.660206393153786</v>
      </c>
      <c r="P44" s="466">
        <f t="shared" ca="1" si="27"/>
        <v>48.313160124961023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IFERROR(__xludf.DUMMYFUNCTION("IMPORTRANGE(""https://docs.google.com/spreadsheets/d/1MeEWN-I1oV_STSDYn1IFDPWt_1FKiwhDph83XaGc0o0/edit?usp=sharing"",""งบพรบ!M23"")"),508544)</f>
        <v>508544</v>
      </c>
      <c r="M46" s="93">
        <f ca="1">IFERROR(__xludf.DUMMYFUNCTION("IMPORTRANGE(""https://docs.google.com/spreadsheets/d/1MeEWN-I1oV_STSDYn1IFDPWt_1FKiwhDph83XaGc0o0/edit?usp=sharing"",""งบพรบ!R23"")"),522723)</f>
        <v>522723</v>
      </c>
      <c r="N46" s="93">
        <f ca="1">IFERROR(__xludf.DUMMYFUNCTION("IMPORTRANGE(""https://docs.google.com/spreadsheets/d/1MeEWN-I1oV_STSDYn1IFDPWt_1FKiwhDph83XaGc0o0/edit?usp=sharing"",""งบพรบ!T23"")"),252544)</f>
        <v>252544</v>
      </c>
      <c r="O46" s="93">
        <f t="shared" ca="1" si="26"/>
        <v>49.660206393153786</v>
      </c>
      <c r="P46" s="93">
        <f t="shared" ca="1" si="27"/>
        <v>48.313160124961023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IFERROR(__xludf.DUMMYFUNCTION("IMPORTRANGE(""https://docs.google.com/spreadsheets/d/1MeEWN-I1oV_STSDYn1IFDPWt_1FKiwhDph83XaGc0o0/edit?usp=sharing"",""งบพรบ!P23"")"),0)</f>
        <v>0</v>
      </c>
      <c r="M49" s="52">
        <f ca="1">IFERROR(__xludf.DUMMYFUNCTION("IMPORTRANGE(""https://docs.google.com/spreadsheets/d/1MeEWN-I1oV_STSDYn1IFDPWt_1FKiwhDph83XaGc0o0/edit?usp=sharing"",""งบพรบ!S23"")"),0)</f>
        <v>0</v>
      </c>
      <c r="N49" s="52">
        <f ca="1">IFERROR(__xludf.DUMMYFUNCTION("IMPORTRANGE(""https://docs.google.com/spreadsheets/d/1MeEWN-I1oV_STSDYn1IFDPWt_1FKiwhDph83XaGc0o0/edit?usp=sharing"",""งบพรบ!U23"")"),0)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1299900</v>
      </c>
      <c r="M53" s="116">
        <f t="shared" ca="1" si="31"/>
        <v>1093500</v>
      </c>
      <c r="N53" s="116">
        <f t="shared" ca="1" si="31"/>
        <v>830165.95</v>
      </c>
      <c r="O53" s="116">
        <f t="shared" ref="O53:O61" ca="1" si="32">IF(L53&gt;0,N53*100/L53,0)</f>
        <v>63.863831833217937</v>
      </c>
      <c r="P53" s="116">
        <f t="shared" ref="P53:P61" ca="1" si="33">IF(M53&gt;0,N53*100/M53,0)</f>
        <v>75.918239597622318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1299900</v>
      </c>
      <c r="M55" s="123">
        <f t="shared" ca="1" si="34"/>
        <v>1093500</v>
      </c>
      <c r="N55" s="123">
        <f t="shared" ca="1" si="34"/>
        <v>830165.95</v>
      </c>
      <c r="O55" s="123">
        <f t="shared" ca="1" si="32"/>
        <v>63.863831833217937</v>
      </c>
      <c r="P55" s="123">
        <f t="shared" ca="1" si="33"/>
        <v>75.918239597622318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811600</v>
      </c>
      <c r="M56" s="466">
        <f t="shared" ca="1" si="35"/>
        <v>608700</v>
      </c>
      <c r="N56" s="466">
        <f t="shared" ca="1" si="35"/>
        <v>345365.95</v>
      </c>
      <c r="O56" s="466">
        <f t="shared" ca="1" si="32"/>
        <v>42.553714884179399</v>
      </c>
      <c r="P56" s="466">
        <f t="shared" ca="1" si="33"/>
        <v>56.738286512239199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IFERROR(__xludf.DUMMYFUNCTION("IMPORTRANGE(""https://docs.google.com/spreadsheets/d/1MeEWN-I1oV_STSDYn1IFDPWt_1FKiwhDph83XaGc0o0/edit?usp=sharing"",""งบพรบ!W23"")"),811600)</f>
        <v>811600</v>
      </c>
      <c r="M58" s="93">
        <f ca="1">IFERROR(__xludf.DUMMYFUNCTION("IMPORTRANGE(""https://docs.google.com/spreadsheets/d/1MeEWN-I1oV_STSDYn1IFDPWt_1FKiwhDph83XaGc0o0/edit?usp=sharing"",""งบพรบ!AB23"")"),608700)</f>
        <v>608700</v>
      </c>
      <c r="N58" s="93">
        <f ca="1">IFERROR(__xludf.DUMMYFUNCTION("IMPORTRANGE(""https://docs.google.com/spreadsheets/d/1MeEWN-I1oV_STSDYn1IFDPWt_1FKiwhDph83XaGc0o0/edit?usp=sharing"",""งบพรบ!AD23"")"),345365.95)</f>
        <v>345365.95</v>
      </c>
      <c r="O58" s="93">
        <f t="shared" ca="1" si="32"/>
        <v>42.553714884179399</v>
      </c>
      <c r="P58" s="93">
        <f t="shared" ca="1" si="33"/>
        <v>56.738286512239199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488300</v>
      </c>
      <c r="M59" s="466">
        <f t="shared" ca="1" si="36"/>
        <v>484800</v>
      </c>
      <c r="N59" s="466">
        <f t="shared" ca="1" si="36"/>
        <v>484800</v>
      </c>
      <c r="O59" s="466">
        <f t="shared" ca="1" si="32"/>
        <v>99.283227524063079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IFERROR(__xludf.DUMMYFUNCTION("IMPORTRANGE(""https://docs.google.com/spreadsheets/d/1MeEWN-I1oV_STSDYn1IFDPWt_1FKiwhDph83XaGc0o0/edit?usp=sharing"",""งบพรบ!Z23"")"),488300)</f>
        <v>488300</v>
      </c>
      <c r="M61" s="52">
        <f ca="1">IFERROR(__xludf.DUMMYFUNCTION("IMPORTRANGE(""https://docs.google.com/spreadsheets/d/1MeEWN-I1oV_STSDYn1IFDPWt_1FKiwhDph83XaGc0o0/edit?usp=sharing"",""งบพรบ!AC23"")"),484800)</f>
        <v>484800</v>
      </c>
      <c r="N61" s="52">
        <f ca="1">IFERROR(__xludf.DUMMYFUNCTION("IMPORTRANGE(""https://docs.google.com/spreadsheets/d/1MeEWN-I1oV_STSDYn1IFDPWt_1FKiwhDph83XaGc0o0/edit?usp=sharing"",""งบพรบ!AE23"")"),484800)</f>
        <v>484800</v>
      </c>
      <c r="O61" s="52">
        <f t="shared" ca="1" si="32"/>
        <v>99.283227524063079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640000</v>
      </c>
      <c r="M66" s="155">
        <f t="shared" ca="1" si="39"/>
        <v>471000</v>
      </c>
      <c r="N66" s="155">
        <f t="shared" ca="1" si="39"/>
        <v>202015</v>
      </c>
      <c r="O66" s="155">
        <f t="shared" ref="O66:O74" ca="1" si="40">IF(L66&gt;0,N66*100/L66,0)</f>
        <v>31.564843750000001</v>
      </c>
      <c r="P66" s="155">
        <f t="shared" ref="P66:P74" ca="1" si="41">IF(M66&gt;0,N66*100/M66,0)</f>
        <v>42.890658174097666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640000</v>
      </c>
      <c r="M68" s="93">
        <f t="shared" ca="1" si="42"/>
        <v>471000</v>
      </c>
      <c r="N68" s="93">
        <f t="shared" ca="1" si="42"/>
        <v>202015</v>
      </c>
      <c r="O68" s="93">
        <f t="shared" ca="1" si="40"/>
        <v>31.564843750000001</v>
      </c>
      <c r="P68" s="93">
        <f t="shared" ca="1" si="41"/>
        <v>42.890658174097666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640000</v>
      </c>
      <c r="M69" s="466">
        <f t="shared" ca="1" si="43"/>
        <v>471000</v>
      </c>
      <c r="N69" s="466">
        <f t="shared" ca="1" si="43"/>
        <v>202015</v>
      </c>
      <c r="O69" s="466">
        <f t="shared" ca="1" si="40"/>
        <v>31.564843750000001</v>
      </c>
      <c r="P69" s="466">
        <f t="shared" ca="1" si="41"/>
        <v>42.890658174097666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IFERROR(__xludf.DUMMYFUNCTION("IMPORTRANGE(""https://docs.google.com/spreadsheets/d/1MeEWN-I1oV_STSDYn1IFDPWt_1FKiwhDph83XaGc0o0/edit?usp=sharing"",""งบพรบ!AG23"")"),640000)</f>
        <v>640000</v>
      </c>
      <c r="M71" s="93">
        <f ca="1">IFERROR(__xludf.DUMMYFUNCTION("IMPORTRANGE(""https://docs.google.com/spreadsheets/d/1MeEWN-I1oV_STSDYn1IFDPWt_1FKiwhDph83XaGc0o0/edit?usp=sharing"",""งบพรบ!AL23"")"),471000)</f>
        <v>471000</v>
      </c>
      <c r="N71" s="93">
        <f ca="1">IFERROR(__xludf.DUMMYFUNCTION("IMPORTRANGE(""https://docs.google.com/spreadsheets/d/1MeEWN-I1oV_STSDYn1IFDPWt_1FKiwhDph83XaGc0o0/edit?usp=sharing"",""งบพรบ!AN23"")"),202015)</f>
        <v>202015</v>
      </c>
      <c r="O71" s="93">
        <f t="shared" ca="1" si="40"/>
        <v>31.564843750000001</v>
      </c>
      <c r="P71" s="93">
        <f t="shared" ca="1" si="41"/>
        <v>42.890658174097666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IFERROR(__xludf.DUMMYFUNCTION("IMPORTRANGE(""https://docs.google.com/spreadsheets/d/1MeEWN-I1oV_STSDYn1IFDPWt_1FKiwhDph83XaGc0o0/edit?usp=sharing"",""งบพรบ!AJ23"")"),0)</f>
        <v>0</v>
      </c>
      <c r="M74" s="93">
        <f ca="1">IFERROR(__xludf.DUMMYFUNCTION("IMPORTRANGE(""https://docs.google.com/spreadsheets/d/1MeEWN-I1oV_STSDYn1IFDPWt_1FKiwhDph83XaGc0o0/edit?usp=sharing"",""งบพรบ!AM23"")"),0)</f>
        <v>0</v>
      </c>
      <c r="N74" s="93">
        <f ca="1">IFERROR(__xludf.DUMMYFUNCTION("IMPORTRANGE(""https://docs.google.com/spreadsheets/d/1MeEWN-I1oV_STSDYn1IFDPWt_1FKiwhDph83XaGc0o0/edit?usp=sharing"",""งบพรบ!AO23"")"),0)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IFERROR(__xludf.DUMMYFUNCTION("IMPORTRANGE(""https://docs.google.com/spreadsheets/d/1QqKyyYR6Q21VydFLVH3TRQUabQu_ym0Zz7PgGX0-kHA/edit?usp=sharing"",""แผน!H23"")"),0)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IFERROR(__xludf.DUMMYFUNCTION("IMPORTRANGE(""https://docs.google.com/spreadsheets/d/1QqKyyYR6Q21VydFLVH3TRQUabQu_ym0Zz7PgGX0-kHA/edit?usp=sharing"",""แผน!I23"")"),0)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IFERROR(__xludf.DUMMYFUNCTION("IMPORTRANGE(""https://docs.google.com/spreadsheets/d/1QqKyyYR6Q21VydFLVH3TRQUabQu_ym0Zz7PgGX0-kHA/edit?usp=sharing"",""แผน!F23"")"),0)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IFERROR(__xludf.DUMMYFUNCTION("IMPORTRANGE(""https://docs.google.com/spreadsheets/d/1QqKyyYR6Q21VydFLVH3TRQUabQu_ym0Zz7PgGX0-kHA/edit?usp=sharing"",""แผน!G23"")"),0)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IFERROR(__xludf.DUMMYFUNCTION("IMPORTRANGE(""https://docs.google.com/spreadsheets/d/1QqKyyYR6Q21VydFLVH3TRQUabQu_ym0Zz7PgGX0-kHA/edit?usp=sharing"",""แผน!D23"")"),1)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IFERROR(__xludf.DUMMYFUNCTION("IMPORTRANGE(""https://docs.google.com/spreadsheets/d/1QqKyyYR6Q21VydFLVH3TRQUabQu_ym0Zz7PgGX0-kHA/edit?usp=sharing"",""แผน!E23"")"),35)</f>
        <v>35</v>
      </c>
      <c r="J83" s="215">
        <v>35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IFERROR(__xludf.DUMMYFUNCTION("IMPORTRANGE(""https://docs.google.com/spreadsheets/d/1QqKyyYR6Q21VydFLVH3TRQUabQu_ym0Zz7PgGX0-kHA/edit?usp=sharing"",""แผน!J23"")"),1)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420300</v>
      </c>
      <c r="M88" s="155">
        <f t="shared" ca="1" si="49"/>
        <v>303925</v>
      </c>
      <c r="N88" s="155">
        <f t="shared" ca="1" si="49"/>
        <v>207804</v>
      </c>
      <c r="O88" s="155">
        <f t="shared" ref="O88:O96" ca="1" si="50">IF(L88&gt;0,N88*100/L88,0)</f>
        <v>49.441827266238398</v>
      </c>
      <c r="P88" s="155">
        <f t="shared" ref="P88:P96" ca="1" si="51">IF(M88&gt;0,N88*100/M88,0)</f>
        <v>68.373447396561659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420300</v>
      </c>
      <c r="M90" s="93">
        <f t="shared" ca="1" si="52"/>
        <v>303925</v>
      </c>
      <c r="N90" s="93">
        <f t="shared" ca="1" si="52"/>
        <v>207804</v>
      </c>
      <c r="O90" s="93">
        <f t="shared" ca="1" si="50"/>
        <v>49.441827266238398</v>
      </c>
      <c r="P90" s="93">
        <f t="shared" ca="1" si="51"/>
        <v>68.373447396561659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420300</v>
      </c>
      <c r="M91" s="466">
        <f t="shared" ca="1" si="53"/>
        <v>303925</v>
      </c>
      <c r="N91" s="466">
        <f t="shared" ca="1" si="53"/>
        <v>207804</v>
      </c>
      <c r="O91" s="466">
        <f t="shared" ca="1" si="50"/>
        <v>49.441827266238398</v>
      </c>
      <c r="P91" s="466">
        <f t="shared" ca="1" si="51"/>
        <v>68.373447396561659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IFERROR(__xludf.DUMMYFUNCTION("IMPORTRANGE(""https://docs.google.com/spreadsheets/d/1MeEWN-I1oV_STSDYn1IFDPWt_1FKiwhDph83XaGc0o0/edit?usp=sharing"",""งบพรบ!AQ23"")"),420300)</f>
        <v>420300</v>
      </c>
      <c r="M93" s="93">
        <f ca="1">IFERROR(__xludf.DUMMYFUNCTION("IMPORTRANGE(""https://docs.google.com/spreadsheets/d/1MeEWN-I1oV_STSDYn1IFDPWt_1FKiwhDph83XaGc0o0/edit?usp=sharing"",""งบพรบ!AV23"")"),303925)</f>
        <v>303925</v>
      </c>
      <c r="N93" s="93">
        <f ca="1">IFERROR(__xludf.DUMMYFUNCTION("IMPORTRANGE(""https://docs.google.com/spreadsheets/d/1MeEWN-I1oV_STSDYn1IFDPWt_1FKiwhDph83XaGc0o0/edit?usp=sharing"",""งบพรบ!AX23"")"),207804)</f>
        <v>207804</v>
      </c>
      <c r="O93" s="93">
        <f t="shared" ca="1" si="50"/>
        <v>49.441827266238398</v>
      </c>
      <c r="P93" s="93">
        <f t="shared" ca="1" si="51"/>
        <v>68.373447396561659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IFERROR(__xludf.DUMMYFUNCTION("IMPORTRANGE(""https://docs.google.com/spreadsheets/d/1MeEWN-I1oV_STSDYn1IFDPWt_1FKiwhDph83XaGc0o0/edit?usp=sharing"",""งบพรบ!AT23"")"),0)</f>
        <v>0</v>
      </c>
      <c r="M96" s="93">
        <f ca="1">IFERROR(__xludf.DUMMYFUNCTION("IMPORTRANGE(""https://docs.google.com/spreadsheets/d/1MeEWN-I1oV_STSDYn1IFDPWt_1FKiwhDph83XaGc0o0/edit?usp=sharing"",""งบพรบ!AW23"")"),0)</f>
        <v>0</v>
      </c>
      <c r="N96" s="93">
        <f ca="1">IFERROR(__xludf.DUMMYFUNCTION("IMPORTRANGE(""https://docs.google.com/spreadsheets/d/1MeEWN-I1oV_STSDYn1IFDPWt_1FKiwhDph83XaGc0o0/edit?usp=sharing"",""งบพรบ!AY23"")"),0)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IFERROR(__xludf.DUMMYFUNCTION("IMPORTRANGE(""https://docs.google.com/spreadsheets/d/1QqKyyYR6Q21VydFLVH3TRQUabQu_ym0Zz7PgGX0-kHA/edit?usp=sharing"",""แผน!K23"")"),75)</f>
        <v>75</v>
      </c>
      <c r="J98" s="270">
        <f>J102</f>
        <v>75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IFERROR(__xludf.DUMMYFUNCTION("IMPORTRANGE(""https://docs.google.com/spreadsheets/d/1QqKyyYR6Q21VydFLVH3TRQUabQu_ym0Zz7PgGX0-kHA/edit?usp=sharing"",""แผน!L23"")"),25)</f>
        <v>25</v>
      </c>
      <c r="J99" s="270">
        <f>J104</f>
        <v>25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IFERROR(__xludf.DUMMYFUNCTION("IMPORTRANGE(""https://docs.google.com/spreadsheets/d/1QqKyyYR6Q21VydFLVH3TRQUabQu_ym0Zz7PgGX0-kHA/edit?usp=sharing"",""แผน!M23"")"),2)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IFERROR(__xludf.DUMMYFUNCTION("IMPORTRANGE(""https://docs.google.com/spreadsheets/d/1QqKyyYR6Q21VydFLVH3TRQUabQu_ym0Zz7PgGX0-kHA/edit?usp=sharing"",""แผน!N23"")"),75)</f>
        <v>75</v>
      </c>
      <c r="J102" s="215">
        <v>75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IFERROR(__xludf.DUMMYFUNCTION("IMPORTRANGE(""https://docs.google.com/spreadsheets/d/1QqKyyYR6Q21VydFLVH3TRQUabQu_ym0Zz7PgGX0-kHA/edit?usp=sharing"",""แผน!O23"")"),25)</f>
        <v>25</v>
      </c>
      <c r="J103" s="215">
        <v>25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IFERROR(__xludf.DUMMYFUNCTION("IMPORTRANGE(""https://docs.google.com/spreadsheets/d/1QqKyyYR6Q21VydFLVH3TRQUabQu_ym0Zz7PgGX0-kHA/edit?usp=sharing"",""แผน!O23"")"),25)</f>
        <v>25</v>
      </c>
      <c r="J104" s="215">
        <v>25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IFERROR(__xludf.DUMMYFUNCTION("IMPORTRANGE(""https://docs.google.com/spreadsheets/d/1QqKyyYR6Q21VydFLVH3TRQUabQu_ym0Zz7PgGX0-kHA/edit?usp=sharing"",""แผน!P23"")"),1)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IFERROR(__xludf.DUMMYFUNCTION("IMPORTRANGE(""https://docs.google.com/spreadsheets/d/1QqKyyYR6Q21VydFLVH3TRQUabQu_ym0Zz7PgGX0-kHA/edit?usp=sharing"",""แผน!P23"")"),1)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IFERROR(__xludf.DUMMYFUNCTION("IMPORTRANGE(""https://docs.google.com/spreadsheets/d/1QqKyyYR6Q21VydFLVH3TRQUabQu_ym0Zz7PgGX0-kHA/edit?usp=sharing"",""แผน!Q23"")"),1)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IFERROR(__xludf.DUMMYFUNCTION("IMPORTRANGE(""https://docs.google.com/spreadsheets/d/1QqKyyYR6Q21VydFLVH3TRQUabQu_ym0Zz7PgGX0-kHA/edit?usp=sharing"",""แผน!Q23"")"),1)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IFERROR(__xludf.DUMMYFUNCTION("IMPORTRANGE(""https://docs.google.com/spreadsheets/d/1QqKyyYR6Q21VydFLVH3TRQUabQu_ym0Zz7PgGX0-kHA/edit?usp=sharing"",""แผน!R23"")"),25)</f>
        <v>25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IFERROR(__xludf.DUMMYFUNCTION("IMPORTRANGE(""https://docs.google.com/spreadsheets/d/1QqKyyYR6Q21VydFLVH3TRQUabQu_ym0Zz7PgGX0-kHA/edit?usp=sharing"",""แผน!R23"")"),25)</f>
        <v>25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IFERROR(__xludf.DUMMYFUNCTION("IMPORTRANGE(""https://docs.google.com/spreadsheets/d/1QqKyyYR6Q21VydFLVH3TRQUabQu_ym0Zz7PgGX0-kHA/edit?usp=sharing"",""แผน!R23"")"),25)</f>
        <v>25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IFERROR(__xludf.DUMMYFUNCTION("IMPORTRANGE(""https://docs.google.com/spreadsheets/d/1QqKyyYR6Q21VydFLVH3TRQUabQu_ym0Zz7PgGX0-kHA/edit?usp=sharing"",""แผน!S23"")"),1)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IFERROR(__xludf.DUMMYFUNCTION("IMPORTRANGE(""https://docs.google.com/spreadsheets/d/1QqKyyYR6Q21VydFLVH3TRQUabQu_ym0Zz7PgGX0-kHA/edit?usp=sharing"",""แผน!T23"")"),1)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IFERROR(__xludf.DUMMYFUNCTION("IMPORTRANGE(""https://docs.google.com/spreadsheets/d/1MeEWN-I1oV_STSDYn1IFDPWt_1FKiwhDph83XaGc0o0/edit?usp=sharing"",""งบพรบ!BA23"")"),0)</f>
        <v>0</v>
      </c>
      <c r="M124" s="93">
        <f ca="1">IFERROR(__xludf.DUMMYFUNCTION("IMPORTRANGE(""https://docs.google.com/spreadsheets/d/1MeEWN-I1oV_STSDYn1IFDPWt_1FKiwhDph83XaGc0o0/edit?usp=sharing"",""งบพรบ!BF23"")"),0)</f>
        <v>0</v>
      </c>
      <c r="N124" s="93">
        <f ca="1">IFERROR(__xludf.DUMMYFUNCTION("IMPORTRANGE(""https://docs.google.com/spreadsheets/d/1MeEWN-I1oV_STSDYn1IFDPWt_1FKiwhDph83XaGc0o0/edit?usp=sharing"",""งบพรบ!BH23"")"),0)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IFERROR(__xludf.DUMMYFUNCTION("IMPORTRANGE(""https://docs.google.com/spreadsheets/d/1MeEWN-I1oV_STSDYn1IFDPWt_1FKiwhDph83XaGc0o0/edit?usp=sharing"",""งบพรบ!BD23"")"),0)</f>
        <v>0</v>
      </c>
      <c r="M127" s="93">
        <f ca="1">IFERROR(__xludf.DUMMYFUNCTION("IMPORTRANGE(""https://docs.google.com/spreadsheets/d/1MeEWN-I1oV_STSDYn1IFDPWt_1FKiwhDph83XaGc0o0/edit?usp=sharing"",""งบพรบ!BG23"")"),0)</f>
        <v>0</v>
      </c>
      <c r="N127" s="93">
        <f ca="1">IFERROR(__xludf.DUMMYFUNCTION("IMPORTRANGE(""https://docs.google.com/spreadsheets/d/1MeEWN-I1oV_STSDYn1IFDPWt_1FKiwhDph83XaGc0o0/edit?usp=sharing"",""งบพรบ!BI23"")"),0)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212600</v>
      </c>
      <c r="N132" s="155">
        <f t="shared" ca="1" si="69"/>
        <v>164702.5</v>
      </c>
      <c r="O132" s="155">
        <f t="shared" ref="O132:O140" ca="1" si="70">IF(L132&gt;0,N132*100/L132,0)</f>
        <v>68.839731667049804</v>
      </c>
      <c r="P132" s="155">
        <f t="shared" ref="P132:P140" ca="1" si="71">IF(M132&gt;0,N132*100/M132,0)</f>
        <v>77.470602069614301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239255</v>
      </c>
      <c r="M134" s="93">
        <f t="shared" ca="1" si="72"/>
        <v>212600</v>
      </c>
      <c r="N134" s="93">
        <f t="shared" ca="1" si="72"/>
        <v>164702.5</v>
      </c>
      <c r="O134" s="93">
        <f t="shared" ca="1" si="70"/>
        <v>68.839731667049804</v>
      </c>
      <c r="P134" s="93">
        <f t="shared" ca="1" si="71"/>
        <v>77.470602069614301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109600</v>
      </c>
      <c r="N135" s="466">
        <f t="shared" ca="1" si="73"/>
        <v>61702.5</v>
      </c>
      <c r="O135" s="466">
        <f t="shared" ca="1" si="70"/>
        <v>45.284576712781181</v>
      </c>
      <c r="P135" s="466">
        <f t="shared" ca="1" si="71"/>
        <v>56.297901459854018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IFERROR(__xludf.DUMMYFUNCTION("IMPORTRANGE(""https://docs.google.com/spreadsheets/d/1MeEWN-I1oV_STSDYn1IFDPWt_1FKiwhDph83XaGc0o0/edit?usp=sharing"",""งบพรบ!BK23"")"),136255)</f>
        <v>136255</v>
      </c>
      <c r="M137" s="93">
        <f ca="1">IFERROR(__xludf.DUMMYFUNCTION("IMPORTRANGE(""https://docs.google.com/spreadsheets/d/1MeEWN-I1oV_STSDYn1IFDPWt_1FKiwhDph83XaGc0o0/edit?usp=sharing"",""งบพรบ!BP23"")"),109600)</f>
        <v>109600</v>
      </c>
      <c r="N137" s="93">
        <f ca="1">IFERROR(__xludf.DUMMYFUNCTION("IMPORTRANGE(""https://docs.google.com/spreadsheets/d/1MeEWN-I1oV_STSDYn1IFDPWt_1FKiwhDph83XaGc0o0/edit?usp=sharing"",""งบพรบ!BR23"")"),61702.5)</f>
        <v>61702.5</v>
      </c>
      <c r="O137" s="93">
        <f t="shared" ca="1" si="70"/>
        <v>45.284576712781181</v>
      </c>
      <c r="P137" s="93">
        <f t="shared" ca="1" si="71"/>
        <v>56.297901459854018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IFERROR(__xludf.DUMMYFUNCTION("IMPORTRANGE(""https://docs.google.com/spreadsheets/d/1MeEWN-I1oV_STSDYn1IFDPWt_1FKiwhDph83XaGc0o0/edit?usp=sharing"",""งบพรบ!BN23"")"),103000)</f>
        <v>103000</v>
      </c>
      <c r="M140" s="93">
        <f ca="1">IFERROR(__xludf.DUMMYFUNCTION("IMPORTRANGE(""https://docs.google.com/spreadsheets/d/1MeEWN-I1oV_STSDYn1IFDPWt_1FKiwhDph83XaGc0o0/edit?usp=sharing"",""งบพรบ!BQ23"")"),103000)</f>
        <v>103000</v>
      </c>
      <c r="N140" s="93">
        <f ca="1">IFERROR(__xludf.DUMMYFUNCTION("IMPORTRANGE(""https://docs.google.com/spreadsheets/d/1MeEWN-I1oV_STSDYn1IFDPWt_1FKiwhDph83XaGc0o0/edit?usp=sharing"",""งบพรบ!BS23"")"),103000)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IFERROR(__xludf.DUMMYFUNCTION("IMPORTRANGE(""https://docs.google.com/spreadsheets/d/1QqKyyYR6Q21VydFLVH3TRQUabQu_ym0Zz7PgGX0-kHA/edit?usp=sharing"",""แผน!U23"")"),5)</f>
        <v>5</v>
      </c>
      <c r="J144" s="215">
        <v>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IFERROR(__xludf.DUMMYFUNCTION("IMPORTRANGE(""https://docs.google.com/spreadsheets/d/1QqKyyYR6Q21VydFLVH3TRQUabQu_ym0Zz7PgGX0-kHA/edit?usp=sharing"",""แผน!V23"")"),10)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IFERROR(__xludf.DUMMYFUNCTION("IMPORTRANGE(""https://docs.google.com/spreadsheets/d/1QqKyyYR6Q21VydFLVH3TRQUabQu_ym0Zz7PgGX0-kHA/edit?usp=sharing"",""แผน!W23"")"),1)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40</v>
      </c>
      <c r="K148" s="145">
        <f ca="1">IF(I148&gt;0,J148*100/I148,0)</f>
        <v>200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29480</v>
      </c>
      <c r="N149" s="155">
        <f t="shared" ca="1" si="77"/>
        <v>22047.5</v>
      </c>
      <c r="O149" s="155">
        <f t="shared" ref="O149:O157" ca="1" si="78">IF(L149&gt;0,N149*100/L149,0)</f>
        <v>220.47499999999999</v>
      </c>
      <c r="P149" s="155">
        <f t="shared" ref="P149:P157" ca="1" si="79">IF(M149&gt;0,N149*100/M149,0)</f>
        <v>74.787991858887381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29480</v>
      </c>
      <c r="N151" s="93">
        <f t="shared" ca="1" si="80"/>
        <v>22047.5</v>
      </c>
      <c r="O151" s="93">
        <f t="shared" ca="1" si="78"/>
        <v>220.47499999999999</v>
      </c>
      <c r="P151" s="93">
        <f t="shared" ca="1" si="79"/>
        <v>74.787991858887381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29480</v>
      </c>
      <c r="N152" s="466">
        <f t="shared" ca="1" si="81"/>
        <v>22047.5</v>
      </c>
      <c r="O152" s="466">
        <f t="shared" ca="1" si="78"/>
        <v>220.47499999999999</v>
      </c>
      <c r="P152" s="466">
        <f t="shared" ca="1" si="79"/>
        <v>74.787991858887381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IFERROR(__xludf.DUMMYFUNCTION("IMPORTRANGE(""https://docs.google.com/spreadsheets/d/1MeEWN-I1oV_STSDYn1IFDPWt_1FKiwhDph83XaGc0o0/edit?usp=sharing"",""งบพรบ!BU23"")"),10000)</f>
        <v>10000</v>
      </c>
      <c r="M154" s="93">
        <f ca="1">IFERROR(__xludf.DUMMYFUNCTION("IMPORTRANGE(""https://docs.google.com/spreadsheets/d/1MeEWN-I1oV_STSDYn1IFDPWt_1FKiwhDph83XaGc0o0/edit?usp=sharing"",""งบพรบ!BZ23"")"),29480)</f>
        <v>29480</v>
      </c>
      <c r="N154" s="93">
        <f ca="1">IFERROR(__xludf.DUMMYFUNCTION("IMPORTRANGE(""https://docs.google.com/spreadsheets/d/1MeEWN-I1oV_STSDYn1IFDPWt_1FKiwhDph83XaGc0o0/edit?usp=sharing"",""งบพรบ!CB23"")"),22047.5)</f>
        <v>22047.5</v>
      </c>
      <c r="O154" s="93">
        <f t="shared" ca="1" si="78"/>
        <v>220.47499999999999</v>
      </c>
      <c r="P154" s="93">
        <f t="shared" ca="1" si="79"/>
        <v>74.787991858887381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IFERROR(__xludf.DUMMYFUNCTION("IMPORTRANGE(""https://docs.google.com/spreadsheets/d/1MeEWN-I1oV_STSDYn1IFDPWt_1FKiwhDph83XaGc0o0/edit?usp=sharing"",""งบพรบ!BX23"")"),0)</f>
        <v>0</v>
      </c>
      <c r="M157" s="93">
        <f ca="1">IFERROR(__xludf.DUMMYFUNCTION("IMPORTRANGE(""https://docs.google.com/spreadsheets/d/1MeEWN-I1oV_STSDYn1IFDPWt_1FKiwhDph83XaGc0o0/edit?usp=sharing"",""งบพรบ!CA23"")"),0)</f>
        <v>0</v>
      </c>
      <c r="N157" s="93">
        <f ca="1">IFERROR(__xludf.DUMMYFUNCTION("IMPORTRANGE(""https://docs.google.com/spreadsheets/d/1MeEWN-I1oV_STSDYn1IFDPWt_1FKiwhDph83XaGc0o0/edit?usp=sharing"",""งบพรบ!CC23"")"),0)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IFERROR(__xludf.DUMMYFUNCTION("IMPORTRANGE(""https://docs.google.com/spreadsheets/d/1QqKyyYR6Q21VydFLVH3TRQUabQu_ym0Zz7PgGX0-kHA/edit?usp=sharing"",""แผน!X23"")"),20)</f>
        <v>20</v>
      </c>
      <c r="J159" s="215">
        <v>40</v>
      </c>
      <c r="K159" s="466">
        <f ca="1">IF(I159&gt;0,J159*100/I159,0)</f>
        <v>200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36805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36805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36805</v>
      </c>
      <c r="N168" s="466">
        <f t="shared" ca="1" si="88"/>
        <v>0</v>
      </c>
      <c r="O168" s="466">
        <f t="shared" ca="1" si="85"/>
        <v>0</v>
      </c>
      <c r="P168" s="46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IFERROR(__xludf.DUMMYFUNCTION("IMPORTRANGE(""https://docs.google.com/spreadsheets/d/1MeEWN-I1oV_STSDYn1IFDPWt_1FKiwhDph83XaGc0o0/edit?usp=sharing"",""งบพรบ!CE23"")"),22055)</f>
        <v>22055</v>
      </c>
      <c r="M170" s="93">
        <f ca="1">IFERROR(__xludf.DUMMYFUNCTION("IMPORTRANGE(""https://docs.google.com/spreadsheets/d/1MeEWN-I1oV_STSDYn1IFDPWt_1FKiwhDph83XaGc0o0/edit?usp=sharing"",""งบพรบ!CJ23"")"),36805)</f>
        <v>36805</v>
      </c>
      <c r="N170" s="93">
        <f ca="1">IFERROR(__xludf.DUMMYFUNCTION("IMPORTRANGE(""https://docs.google.com/spreadsheets/d/1MeEWN-I1oV_STSDYn1IFDPWt_1FKiwhDph83XaGc0o0/edit?usp=sharing"",""งบพรบ!CL23"")"),0)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IFERROR(__xludf.DUMMYFUNCTION("IMPORTRANGE(""https://docs.google.com/spreadsheets/d/1MeEWN-I1oV_STSDYn1IFDPWt_1FKiwhDph83XaGc0o0/edit?usp=sharing"",""งบพรบ!CH23"")"),0)</f>
        <v>0</v>
      </c>
      <c r="M173" s="93">
        <f ca="1">IFERROR(__xludf.DUMMYFUNCTION("IMPORTRANGE(""https://docs.google.com/spreadsheets/d/1MeEWN-I1oV_STSDYn1IFDPWt_1FKiwhDph83XaGc0o0/edit?usp=sharing"",""งบพรบ!CK23"")"),0)</f>
        <v>0</v>
      </c>
      <c r="N173" s="93">
        <f ca="1">IFERROR(__xludf.DUMMYFUNCTION("IMPORTRANGE(""https://docs.google.com/spreadsheets/d/1MeEWN-I1oV_STSDYn1IFDPWt_1FKiwhDph83XaGc0o0/edit?usp=sharing"",""งบพรบ!CM23"")"),0)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IFERROR(__xludf.DUMMYFUNCTION("IMPORTRANGE(""https://docs.google.com/spreadsheets/d/1QqKyyYR6Q21VydFLVH3TRQUabQu_ym0Zz7PgGX0-kHA/edit?usp=sharing"",""แผน!Y23"")"),11)</f>
        <v>11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111200</v>
      </c>
      <c r="M181" s="155">
        <f t="shared" ca="1" si="92"/>
        <v>76500</v>
      </c>
      <c r="N181" s="155">
        <f t="shared" ca="1" si="92"/>
        <v>10000</v>
      </c>
      <c r="O181" s="155">
        <f t="shared" ref="O181:O189" ca="1" si="93">IF(L181&gt;0,N181*100/L181,0)</f>
        <v>8.9928057553956826</v>
      </c>
      <c r="P181" s="155">
        <f t="shared" ref="P181:P189" ca="1" si="94">IF(M181&gt;0,N181*100/M181,0)</f>
        <v>13.071895424836601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111200</v>
      </c>
      <c r="M183" s="93">
        <f t="shared" ca="1" si="95"/>
        <v>76500</v>
      </c>
      <c r="N183" s="93">
        <f t="shared" ca="1" si="95"/>
        <v>10000</v>
      </c>
      <c r="O183" s="93">
        <f t="shared" ca="1" si="93"/>
        <v>8.9928057553956826</v>
      </c>
      <c r="P183" s="93">
        <f t="shared" ca="1" si="94"/>
        <v>13.071895424836601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6">L185+L186</f>
        <v>111200</v>
      </c>
      <c r="M184" s="466">
        <f t="shared" ca="1" si="96"/>
        <v>76500</v>
      </c>
      <c r="N184" s="466">
        <f t="shared" ca="1" si="96"/>
        <v>10000</v>
      </c>
      <c r="O184" s="466">
        <f t="shared" ca="1" si="93"/>
        <v>8.9928057553956826</v>
      </c>
      <c r="P184" s="466">
        <f t="shared" ca="1" si="94"/>
        <v>13.071895424836601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IFERROR(__xludf.DUMMYFUNCTION("IMPORTRANGE(""https://docs.google.com/spreadsheets/d/1MeEWN-I1oV_STSDYn1IFDPWt_1FKiwhDph83XaGc0o0/edit?usp=sharing"",""งบพรบ!CO23"")"),111200)</f>
        <v>111200</v>
      </c>
      <c r="M186" s="93">
        <f ca="1">IFERROR(__xludf.DUMMYFUNCTION("IMPORTRANGE(""https://docs.google.com/spreadsheets/d/1MeEWN-I1oV_STSDYn1IFDPWt_1FKiwhDph83XaGc0o0/edit?usp=sharing"",""งบพรบ!CT23"")"),76500)</f>
        <v>76500</v>
      </c>
      <c r="N186" s="93">
        <f ca="1">IFERROR(__xludf.DUMMYFUNCTION("IMPORTRANGE(""https://docs.google.com/spreadsheets/d/1MeEWN-I1oV_STSDYn1IFDPWt_1FKiwhDph83XaGc0o0/edit?usp=sharing"",""งบพรบ!CV23"")"),10000)</f>
        <v>10000</v>
      </c>
      <c r="O186" s="93">
        <f t="shared" ca="1" si="93"/>
        <v>8.9928057553956826</v>
      </c>
      <c r="P186" s="93">
        <f t="shared" ca="1" si="94"/>
        <v>13.071895424836601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IFERROR(__xludf.DUMMYFUNCTION("IMPORTRANGE(""https://docs.google.com/spreadsheets/d/1MeEWN-I1oV_STSDYn1IFDPWt_1FKiwhDph83XaGc0o0/edit?usp=sharing"",""งบพรบ!CR23"")"),0)</f>
        <v>0</v>
      </c>
      <c r="M189" s="93">
        <f ca="1">IFERROR(__xludf.DUMMYFUNCTION("IMPORTRANGE(""https://docs.google.com/spreadsheets/d/1MeEWN-I1oV_STSDYn1IFDPWt_1FKiwhDph83XaGc0o0/edit?usp=sharing"",""งบพรบ!CU23"")"),0)</f>
        <v>0</v>
      </c>
      <c r="N189" s="93">
        <f ca="1">IFERROR(__xludf.DUMMYFUNCTION("IMPORTRANGE(""https://docs.google.com/spreadsheets/d/1MeEWN-I1oV_STSDYn1IFDPWt_1FKiwhDph83XaGc0o0/edit?usp=sharing"",""งบพรบ!CW23"")"),0)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IFERROR(__xludf.DUMMYFUNCTION("IMPORTRANGE(""https://docs.google.com/spreadsheets/d/1QqKyyYR6Q21VydFLVH3TRQUabQu_ym0Zz7PgGX0-kHA/edit?usp=sharing"",""แผน!Z23"")"),6000)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IFERROR(__xludf.DUMMYFUNCTION("IMPORTRANGE(""https://docs.google.com/spreadsheets/d/1QqKyyYR6Q21VydFLVH3TRQUabQu_ym0Zz7PgGX0-kHA/edit?usp=sharing"",""แผน!AC23"")"),4)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IFERROR(__xludf.DUMMYFUNCTION("IMPORTRANGE(""https://docs.google.com/spreadsheets/d/1QqKyyYR6Q21VydFLVH3TRQUabQu_ym0Zz7PgGX0-kHA/edit?usp=sharing"",""แผน!AE23"")"),2000)</f>
        <v>2000</v>
      </c>
      <c r="M199" s="466"/>
      <c r="N199" s="801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IFERROR(__xludf.DUMMYFUNCTION("IMPORTRANGE(""https://docs.google.com/spreadsheets/d/1QqKyyYR6Q21VydFLVH3TRQUabQu_ym0Zz7PgGX0-kHA/edit?usp=sharing"",""แผน!AF23"")"),16000)</f>
        <v>16000</v>
      </c>
      <c r="M200" s="466"/>
      <c r="N200" s="801">
        <v>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IFERROR(__xludf.DUMMYFUNCTION("IMPORTRANGE(""https://docs.google.com/spreadsheets/d/1QqKyyYR6Q21VydFLVH3TRQUabQu_ym0Zz7PgGX0-kHA/edit?usp=sharing"",""แผน!AG23"")"),8000)</f>
        <v>8000</v>
      </c>
      <c r="M201" s="466"/>
      <c r="N201" s="801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IFERROR(__xludf.DUMMYFUNCTION("IMPORTRANGE(""https://docs.google.com/spreadsheets/d/1QqKyyYR6Q21VydFLVH3TRQUabQu_ym0Zz7PgGX0-kHA/edit?usp=sharing"",""แผน!AH23"")"),0)</f>
        <v>0</v>
      </c>
      <c r="M202" s="466"/>
      <c r="N202" s="801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IFERROR(__xludf.DUMMYFUNCTION("IMPORTRANGE(""https://docs.google.com/spreadsheets/d/1QqKyyYR6Q21VydFLVH3TRQUabQu_ym0Zz7PgGX0-kHA/edit?usp=sharing"",""แผน!AI23"")"),2)</f>
        <v>2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28000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IFERROR(__xludf.DUMMYFUNCTION("IMPORTRANGE(""https://docs.google.com/spreadsheets/d/1QqKyyYR6Q21VydFLVH3TRQUabQu_ym0Zz7PgGX0-kHA/edit?usp=sharing"",""แผน!AK23"")"),2000)</f>
        <v>2000</v>
      </c>
      <c r="M210" s="466"/>
      <c r="N210" s="801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IFERROR(__xludf.DUMMYFUNCTION("IMPORTRANGE(""https://docs.google.com/spreadsheets/d/1QqKyyYR6Q21VydFLVH3TRQUabQu_ym0Zz7PgGX0-kHA/edit?usp=sharing"",""แผน!AL23"")"),10000)</f>
        <v>10000</v>
      </c>
      <c r="M211" s="466"/>
      <c r="N211" s="801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IFERROR(__xludf.DUMMYFUNCTION("IMPORTRANGE(""https://docs.google.com/spreadsheets/d/1QqKyyYR6Q21VydFLVH3TRQUabQu_ym0Zz7PgGX0-kHA/edit?usp=sharing"",""แผน!AM23"")"),16000)</f>
        <v>16000</v>
      </c>
      <c r="M212" s="466"/>
      <c r="N212" s="801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IFERROR(__xludf.DUMMYFUNCTION("IMPORTRANGE(""https://docs.google.com/spreadsheets/d/1QqKyyYR6Q21VydFLVH3TRQUabQu_ym0Zz7PgGX0-kHA/edit?usp=sharing"",""แผน!AN23"")"),2)</f>
        <v>2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IFERROR(__xludf.DUMMYFUNCTION("IMPORTRANGE(""https://docs.google.com/spreadsheets/d/1QqKyyYR6Q21VydFLVH3TRQUabQu_ym0Zz7PgGX0-kHA/edit?usp=sharing"",""แผน!AN23"")"),2)</f>
        <v>2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51200</v>
      </c>
      <c r="M217" s="155"/>
      <c r="N217" s="155">
        <f>N218+N219+N220</f>
        <v>10000</v>
      </c>
      <c r="O217" s="155">
        <f ca="1">IF(L217&gt;0,N217*100/L217,0)</f>
        <v>19.53125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IFERROR(__xludf.DUMMYFUNCTION("IMPORTRANGE(""https://docs.google.com/spreadsheets/d/1QqKyyYR6Q21VydFLVH3TRQUabQu_ym0Zz7PgGX0-kHA/edit?usp=sharing"",""แผน!AP23"")"),8000)</f>
        <v>8000</v>
      </c>
      <c r="M218" s="466"/>
      <c r="N218" s="801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IFERROR(__xludf.DUMMYFUNCTION("IMPORTRANGE(""https://docs.google.com/spreadsheets/d/1QqKyyYR6Q21VydFLVH3TRQUabQu_ym0Zz7PgGX0-kHA/edit?usp=sharing"",""แผน!AQ23"")"),33200)</f>
        <v>33200</v>
      </c>
      <c r="M219" s="466"/>
      <c r="N219" s="801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IFERROR(__xludf.DUMMYFUNCTION("IMPORTRANGE(""https://docs.google.com/spreadsheets/d/1QqKyyYR6Q21VydFLVH3TRQUabQu_ym0Zz7PgGX0-kHA/edit?usp=sharing"",""แผน!AR23"")"),10000)</f>
        <v>10000</v>
      </c>
      <c r="M220" s="466"/>
      <c r="N220" s="801">
        <v>10000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IFERROR(__xludf.DUMMYFUNCTION("IMPORTRANGE(""https://docs.google.com/spreadsheets/d/1QqKyyYR6Q21VydFLVH3TRQUabQu_ym0Zz7PgGX0-kHA/edit?usp=sharing"",""แผน!AT23"")"),128000)</f>
        <v>128000</v>
      </c>
      <c r="J223" s="215">
        <v>128000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IFERROR(__xludf.DUMMYFUNCTION("IMPORTRANGE(""https://docs.google.com/spreadsheets/d/1QqKyyYR6Q21VydFLVH3TRQUabQu_ym0Zz7PgGX0-kHA/edit?usp=sharing"",""แผน!AT23"")"),128000)</f>
        <v>128000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IFERROR(__xludf.DUMMYFUNCTION("IMPORTRANGE(""https://docs.google.com/spreadsheets/d/1QqKyyYR6Q21VydFLVH3TRQUabQu_ym0Zz7PgGX0-kHA/edit?usp=sharing"",""แผน!AS23"")"),10)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5">I237+I248</f>
        <v>0</v>
      </c>
      <c r="J226" s="821">
        <f t="shared" si="105"/>
        <v>0</v>
      </c>
      <c r="K226" s="82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6">L238+L249</f>
        <v>0</v>
      </c>
      <c r="M227" s="831"/>
      <c r="N227" s="831">
        <f t="shared" ref="N227:N231" si="107">N238+N249</f>
        <v>0</v>
      </c>
      <c r="O227" s="832"/>
      <c r="P227" s="83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35"/>
      <c r="R229" s="835"/>
      <c r="S229" s="835"/>
      <c r="T229" s="835"/>
      <c r="U229" s="835"/>
      <c r="V229" s="835"/>
      <c r="W229" s="835"/>
      <c r="X229" s="835"/>
      <c r="Y229" s="835"/>
      <c r="Z229" s="835"/>
    </row>
    <row r="230" spans="1:2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35"/>
      <c r="R230" s="835"/>
      <c r="S230" s="835"/>
      <c r="T230" s="835"/>
      <c r="U230" s="835"/>
      <c r="V230" s="835"/>
      <c r="W230" s="835"/>
      <c r="X230" s="835"/>
      <c r="Y230" s="835"/>
      <c r="Z230" s="835"/>
    </row>
    <row r="231" spans="1:2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35"/>
      <c r="R231" s="835"/>
      <c r="S231" s="835"/>
      <c r="T231" s="835"/>
      <c r="U231" s="835"/>
      <c r="V231" s="835"/>
      <c r="W231" s="835"/>
      <c r="X231" s="835"/>
      <c r="Y231" s="835"/>
      <c r="Z231" s="835"/>
    </row>
    <row r="232" spans="1:2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IFERROR(__xludf.DUMMYFUNCTION("IMPORTRANGE(""https://docs.google.com/spreadsheets/d/1QqKyyYR6Q21VydFLVH3TRQUabQu_ym0Zz7PgGX0-kHA/edit?usp=sharing"",""แผน!AV23"")"),0)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IFERROR(__xludf.DUMMYFUNCTION("IMPORTRANGE(""https://docs.google.com/spreadsheets/d/1QqKyyYR6Q21VydFLVH3TRQUabQu_ym0Zz7PgGX0-kHA/edit?usp=sharing"",""แผน!AW23"")"),0)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IFERROR(__xludf.DUMMYFUNCTION("IMPORTRANGE(""https://docs.google.com/spreadsheets/d/1QqKyyYR6Q21VydFLVH3TRQUabQu_ym0Zz7PgGX0-kHA/edit?usp=sharing"",""แผน!AX23"")"),0)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IFERROR(__xludf.DUMMYFUNCTION("IMPORTRANGE(""https://docs.google.com/spreadsheets/d/1QqKyyYR6Q21VydFLVH3TRQUabQu_ym0Zz7PgGX0-kHA/edit?usp=sharing"",""แผน!AY23"")"),0)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IFERROR(__xludf.DUMMYFUNCTION("IMPORTRANGE(""https://docs.google.com/spreadsheets/d/1QqKyyYR6Q21VydFLVH3TRQUabQu_ym0Zz7PgGX0-kHA/edit?usp=sharing"",""แผน!BE23"")"),0)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IFERROR(__xludf.DUMMYFUNCTION("IMPORTRANGE(""https://docs.google.com/spreadsheets/d/1QqKyyYR6Q21VydFLVH3TRQUabQu_ym0Zz7PgGX0-kHA/edit?usp=sharing"",""แผน!AZ23"")"),0)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IFERROR(__xludf.DUMMYFUNCTION("IMPORTRANGE(""https://docs.google.com/spreadsheets/d/1QqKyyYR6Q21VydFLVH3TRQUabQu_ym0Zz7PgGX0-kHA/edit?usp=sharing"",""แผน!BA23"")"),0)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IFERROR(__xludf.DUMMYFUNCTION("IMPORTRANGE(""https://docs.google.com/spreadsheets/d/1QqKyyYR6Q21VydFLVH3TRQUabQu_ym0Zz7PgGX0-kHA/edit?usp=sharing"",""แผน!BB23"")"),0)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IFERROR(__xludf.DUMMYFUNCTION("IMPORTRANGE(""https://docs.google.com/spreadsheets/d/1QqKyyYR6Q21VydFLVH3TRQUabQu_ym0Zz7PgGX0-kHA/edit?usp=sharing"",""แผน!BC23"")"),0)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IFERROR(__xludf.DUMMYFUNCTION("IMPORTRANGE(""https://docs.google.com/spreadsheets/d/1QqKyyYR6Q21VydFLVH3TRQUabQu_ym0Zz7PgGX0-kHA/edit?usp=sharing"",""แผน!BF23"")"),0)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18132.5</v>
      </c>
      <c r="O261" s="155">
        <f t="shared" ref="O261:O269" ca="1" si="117">IF(L261&gt;0,N261*100/L261,0)</f>
        <v>67.407063197026019</v>
      </c>
      <c r="P261" s="155">
        <f t="shared" ref="P261:P269" ca="1" si="118">IF(M261&gt;0,N261*100/M261,0)</f>
        <v>75.86820083682008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18132.5</v>
      </c>
      <c r="O263" s="93">
        <f t="shared" ca="1" si="117"/>
        <v>67.407063197026019</v>
      </c>
      <c r="P263" s="93">
        <f t="shared" ca="1" si="118"/>
        <v>75.86820083682008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18132.5</v>
      </c>
      <c r="O264" s="466">
        <f t="shared" ca="1" si="117"/>
        <v>67.407063197026019</v>
      </c>
      <c r="P264" s="466">
        <f t="shared" ca="1" si="118"/>
        <v>75.86820083682008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IFERROR(__xludf.DUMMYFUNCTION("IMPORTRANGE(""https://docs.google.com/spreadsheets/d/1MeEWN-I1oV_STSDYn1IFDPWt_1FKiwhDph83XaGc0o0/edit?usp=sharing"",""งบพรบ!CY23"")"),26900)</f>
        <v>26900</v>
      </c>
      <c r="M266" s="93">
        <f ca="1">IFERROR(__xludf.DUMMYFUNCTION("IMPORTRANGE(""https://docs.google.com/spreadsheets/d/1MeEWN-I1oV_STSDYn1IFDPWt_1FKiwhDph83XaGc0o0/edit?usp=sharing"",""งบพรบ!DD23"")"),23900)</f>
        <v>23900</v>
      </c>
      <c r="N266" s="93">
        <f ca="1">IFERROR(__xludf.DUMMYFUNCTION("IMPORTRANGE(""https://docs.google.com/spreadsheets/d/1MeEWN-I1oV_STSDYn1IFDPWt_1FKiwhDph83XaGc0o0/edit?usp=sharing"",""งบพรบ!DF23"")"),18132.5)</f>
        <v>18132.5</v>
      </c>
      <c r="O266" s="93">
        <f t="shared" ca="1" si="117"/>
        <v>67.407063197026019</v>
      </c>
      <c r="P266" s="93">
        <f t="shared" ca="1" si="118"/>
        <v>75.86820083682008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IFERROR(__xludf.DUMMYFUNCTION("IMPORTRANGE(""https://docs.google.com/spreadsheets/d/1MeEWN-I1oV_STSDYn1IFDPWt_1FKiwhDph83XaGc0o0/edit?usp=sharing"",""งบพรบ!DB23"")"),0)</f>
        <v>0</v>
      </c>
      <c r="M269" s="93">
        <f ca="1">IFERROR(__xludf.DUMMYFUNCTION("IMPORTRANGE(""https://docs.google.com/spreadsheets/d/1MeEWN-I1oV_STSDYn1IFDPWt_1FKiwhDph83XaGc0o0/edit?usp=sharing"",""งบพรบ!DE23"")"),0)</f>
        <v>0</v>
      </c>
      <c r="N269" s="93">
        <f ca="1">IFERROR(__xludf.DUMMYFUNCTION("IMPORTRANGE(""https://docs.google.com/spreadsheets/d/1MeEWN-I1oV_STSDYn1IFDPWt_1FKiwhDph83XaGc0o0/edit?usp=sharing"",""งบพรบ!DG23"")"),0)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80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800</v>
      </c>
      <c r="J276" s="375">
        <f t="shared" si="124"/>
        <v>800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4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286680</v>
      </c>
      <c r="M277" s="155">
        <f t="shared" ca="1" si="125"/>
        <v>286680</v>
      </c>
      <c r="N277" s="155">
        <f t="shared" ca="1" si="125"/>
        <v>116245</v>
      </c>
      <c r="O277" s="155">
        <f t="shared" ref="O277:O285" ca="1" si="126">IF(L277&gt;0,N277*100/L277,0)</f>
        <v>40.548695409515837</v>
      </c>
      <c r="P277" s="155">
        <f t="shared" ref="P277:P285" ca="1" si="127">IF(M277&gt;0,N277*100/M277,0)</f>
        <v>40.548695409515837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286680</v>
      </c>
      <c r="M279" s="93">
        <f t="shared" ca="1" si="128"/>
        <v>286680</v>
      </c>
      <c r="N279" s="93">
        <f t="shared" ca="1" si="128"/>
        <v>116245</v>
      </c>
      <c r="O279" s="93">
        <f t="shared" ca="1" si="126"/>
        <v>40.548695409515837</v>
      </c>
      <c r="P279" s="93">
        <f t="shared" ca="1" si="127"/>
        <v>40.548695409515837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29">L281+L282</f>
        <v>286680</v>
      </c>
      <c r="M280" s="466">
        <f t="shared" ca="1" si="129"/>
        <v>286680</v>
      </c>
      <c r="N280" s="466">
        <f t="shared" ca="1" si="129"/>
        <v>116245</v>
      </c>
      <c r="O280" s="466">
        <f t="shared" ca="1" si="126"/>
        <v>40.548695409515837</v>
      </c>
      <c r="P280" s="466">
        <f t="shared" ca="1" si="127"/>
        <v>40.548695409515837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IFERROR(__xludf.DUMMYFUNCTION("IMPORTRANGE(""https://docs.google.com/spreadsheets/d/1MeEWN-I1oV_STSDYn1IFDPWt_1FKiwhDph83XaGc0o0/edit?usp=sharing"",""งบพรบ!DI23"")"),286680)</f>
        <v>286680</v>
      </c>
      <c r="M282" s="93">
        <f ca="1">IFERROR(__xludf.DUMMYFUNCTION("IMPORTRANGE(""https://docs.google.com/spreadsheets/d/1MeEWN-I1oV_STSDYn1IFDPWt_1FKiwhDph83XaGc0o0/edit?usp=sharing"",""งบพรบ!DN23"")"),286680)</f>
        <v>286680</v>
      </c>
      <c r="N282" s="93">
        <f ca="1">IFERROR(__xludf.DUMMYFUNCTION("IMPORTRANGE(""https://docs.google.com/spreadsheets/d/1MeEWN-I1oV_STSDYn1IFDPWt_1FKiwhDph83XaGc0o0/edit?usp=sharing"",""งบพรบ!DP23"")"),116245)</f>
        <v>116245</v>
      </c>
      <c r="O282" s="93">
        <f t="shared" ca="1" si="126"/>
        <v>40.548695409515837</v>
      </c>
      <c r="P282" s="93">
        <f t="shared" ca="1" si="127"/>
        <v>40.548695409515837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IFERROR(__xludf.DUMMYFUNCTION("IMPORTRANGE(""https://docs.google.com/spreadsheets/d/1MeEWN-I1oV_STSDYn1IFDPWt_1FKiwhDph83XaGc0o0/edit?usp=sharing"",""งบพรบ!DL23"")"),0)</f>
        <v>0</v>
      </c>
      <c r="M285" s="93">
        <f ca="1">IFERROR(__xludf.DUMMYFUNCTION("IMPORTRANGE(""https://docs.google.com/spreadsheets/d/1MeEWN-I1oV_STSDYn1IFDPWt_1FKiwhDph83XaGc0o0/edit?usp=sharing"",""งบพรบ!DO23"")"),0)</f>
        <v>0</v>
      </c>
      <c r="N285" s="93">
        <f ca="1">IFERROR(__xludf.DUMMYFUNCTION("IMPORTRANGE(""https://docs.google.com/spreadsheets/d/1MeEWN-I1oV_STSDYn1IFDPWt_1FKiwhDph83XaGc0o0/edit?usp=sharing"",""งบพรบ!DQ23"")"),0)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IFERROR(__xludf.DUMMYFUNCTION("IMPORTRANGE(""https://docs.google.com/spreadsheets/d/1QqKyyYR6Q21VydFLVH3TRQUabQu_ym0Zz7PgGX0-kHA/edit?usp=sharing"",""แผน!EC23"")"),800)</f>
        <v>800</v>
      </c>
      <c r="J287" s="215">
        <v>800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IFERROR(__xludf.DUMMYFUNCTION("IMPORTRANGE(""https://docs.google.com/spreadsheets/d/1QqKyyYR6Q21VydFLVH3TRQUabQu_ym0Zz7PgGX0-kHA/edit?usp=sharing"",""แผน!EB23"")"),80)</f>
        <v>80</v>
      </c>
      <c r="J288" s="648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IFERROR(__xludf.DUMMYFUNCTION("IMPORTRANGE(""https://docs.google.com/spreadsheets/d/1QqKyyYR6Q21VydFLVH3TRQUabQu_ym0Zz7PgGX0-kHA/edit?usp=sharing"",""แผน!EB23"")"),80)</f>
        <v>80</v>
      </c>
      <c r="J290" s="215">
        <v>80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IFERROR(__xludf.DUMMYFUNCTION("IMPORTRANGE(""https://docs.google.com/spreadsheets/d/1QqKyyYR6Q21VydFLVH3TRQUabQu_ym0Zz7PgGX0-kHA/edit?usp=sharing"",""แผน!EB23"")"),80)</f>
        <v>80</v>
      </c>
      <c r="J291" s="215">
        <v>80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IFERROR(__xludf.DUMMYFUNCTION("IMPORTRANGE(""https://docs.google.com/spreadsheets/d/1QqKyyYR6Q21VydFLVH3TRQUabQu_ym0Zz7PgGX0-kHA/edit?usp=sharing"",""แผน!EB23"")"),80)</f>
        <v>80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1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IFERROR(__xludf.DUMMYFUNCTION("IMPORTRANGE(""https://docs.google.com/spreadsheets/d/1QqKyyYR6Q21VydFLVH3TRQUabQu_ym0Zz7PgGX0-kHA/edit?usp=sharing"",""แผน!EB23"")"),80)</f>
        <v>80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25</v>
      </c>
      <c r="J297" s="413">
        <f t="shared" si="134"/>
        <v>25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4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101000</v>
      </c>
      <c r="M298" s="155">
        <f t="shared" ca="1" si="135"/>
        <v>78500</v>
      </c>
      <c r="N298" s="155">
        <f t="shared" ca="1" si="135"/>
        <v>60400</v>
      </c>
      <c r="O298" s="155">
        <f t="shared" ref="O298:O306" ca="1" si="136">IF(L298&gt;0,N298*100/L298,0)</f>
        <v>59.801980198019805</v>
      </c>
      <c r="P298" s="155">
        <f t="shared" ref="P298:P306" ca="1" si="137">IF(M298&gt;0,N298*100/M298,0)</f>
        <v>76.942675159235662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101000</v>
      </c>
      <c r="M300" s="93">
        <f t="shared" ca="1" si="138"/>
        <v>78500</v>
      </c>
      <c r="N300" s="93">
        <f t="shared" ca="1" si="138"/>
        <v>60400</v>
      </c>
      <c r="O300" s="93">
        <f t="shared" ca="1" si="136"/>
        <v>59.801980198019805</v>
      </c>
      <c r="P300" s="93">
        <f t="shared" ca="1" si="137"/>
        <v>76.942675159235662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39">L302+L303</f>
        <v>101000</v>
      </c>
      <c r="M301" s="466">
        <f t="shared" ca="1" si="139"/>
        <v>78500</v>
      </c>
      <c r="N301" s="466">
        <f t="shared" ca="1" si="139"/>
        <v>60400</v>
      </c>
      <c r="O301" s="466">
        <f t="shared" ca="1" si="136"/>
        <v>59.801980198019805</v>
      </c>
      <c r="P301" s="466">
        <f t="shared" ca="1" si="137"/>
        <v>76.942675159235662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IFERROR(__xludf.DUMMYFUNCTION("IMPORTRANGE(""https://docs.google.com/spreadsheets/d/1MeEWN-I1oV_STSDYn1IFDPWt_1FKiwhDph83XaGc0o0/edit?usp=sharing"",""งบพรบ!DS23"")"),101000)</f>
        <v>101000</v>
      </c>
      <c r="M303" s="93">
        <f ca="1">IFERROR(__xludf.DUMMYFUNCTION("IMPORTRANGE(""https://docs.google.com/spreadsheets/d/1MeEWN-I1oV_STSDYn1IFDPWt_1FKiwhDph83XaGc0o0/edit?usp=sharing"",""งบพรบ!DX23"")"),78500)</f>
        <v>78500</v>
      </c>
      <c r="N303" s="93">
        <f ca="1">IFERROR(__xludf.DUMMYFUNCTION("IMPORTRANGE(""https://docs.google.com/spreadsheets/d/1MeEWN-I1oV_STSDYn1IFDPWt_1FKiwhDph83XaGc0o0/edit?usp=sharing"",""งบพรบ!DZ23"")"),60400)</f>
        <v>60400</v>
      </c>
      <c r="O303" s="93">
        <f t="shared" ca="1" si="136"/>
        <v>59.801980198019805</v>
      </c>
      <c r="P303" s="93">
        <f t="shared" ca="1" si="137"/>
        <v>76.942675159235662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IFERROR(__xludf.DUMMYFUNCTION("IMPORTRANGE(""https://docs.google.com/spreadsheets/d/1MeEWN-I1oV_STSDYn1IFDPWt_1FKiwhDph83XaGc0o0/edit?usp=sharing"",""งบพรบ!DV23"")"),0)</f>
        <v>0</v>
      </c>
      <c r="M306" s="93">
        <f ca="1">IFERROR(__xludf.DUMMYFUNCTION("IMPORTRANGE(""https://docs.google.com/spreadsheets/d/1MeEWN-I1oV_STSDYn1IFDPWt_1FKiwhDph83XaGc0o0/edit?usp=sharing"",""งบพรบ!DY23"")"),0)</f>
        <v>0</v>
      </c>
      <c r="N306" s="93">
        <f ca="1">IFERROR(__xludf.DUMMYFUNCTION("IMPORTRANGE(""https://docs.google.com/spreadsheets/d/1MeEWN-I1oV_STSDYn1IFDPWt_1FKiwhDph83XaGc0o0/edit?usp=sharing"",""งบพรบ!EA23"")"),0)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IFERROR(__xludf.DUMMYFUNCTION("IMPORTRANGE(""https://docs.google.com/spreadsheets/d/1QqKyyYR6Q21VydFLVH3TRQUabQu_ym0Zz7PgGX0-kHA/edit?usp=sharing"",""แผน!ED23"")"),25)</f>
        <v>25</v>
      </c>
      <c r="J309" s="215">
        <v>25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IFERROR(__xludf.DUMMYFUNCTION("IMPORTRANGE(""https://docs.google.com/spreadsheets/d/1QqKyyYR6Q21VydFLVH3TRQUabQu_ym0Zz7PgGX0-kHA/edit?usp=sharing"",""แผน!ED23"")"),25)</f>
        <v>25</v>
      </c>
      <c r="J310" s="215">
        <v>25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IFERROR(__xludf.DUMMYFUNCTION("IMPORTRANGE(""https://docs.google.com/spreadsheets/d/1QqKyyYR6Q21VydFLVH3TRQUabQu_ym0Zz7PgGX0-kHA/edit?usp=sharing"",""แผน!ED23"")"),25)</f>
        <v>25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IFERROR(__xludf.DUMMYFUNCTION("IMPORTRANGE(""https://docs.google.com/spreadsheets/d/1QqKyyYR6Q21VydFLVH3TRQUabQu_ym0Zz7PgGX0-kHA/edit?usp=sharing"",""แผน!EE23"")"),5)</f>
        <v>5</v>
      </c>
      <c r="J312" s="215">
        <v>5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4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IFERROR(__xludf.DUMMYFUNCTION("IMPORTRANGE(""https://docs.google.com/spreadsheets/d/1MeEWN-I1oV_STSDYn1IFDPWt_1FKiwhDph83XaGc0o0/edit?usp=sharing"",""งบพรบ!EC23"")"),0)</f>
        <v>0</v>
      </c>
      <c r="M320" s="93">
        <f ca="1">IFERROR(__xludf.DUMMYFUNCTION("IMPORTRANGE(""https://docs.google.com/spreadsheets/d/1MeEWN-I1oV_STSDYn1IFDPWt_1FKiwhDph83XaGc0o0/edit?usp=sharing"",""งบพรบ!EH23"")"),0)</f>
        <v>0</v>
      </c>
      <c r="N320" s="93">
        <f ca="1">IFERROR(__xludf.DUMMYFUNCTION("IMPORTRANGE(""https://docs.google.com/spreadsheets/d/1MeEWN-I1oV_STSDYn1IFDPWt_1FKiwhDph83XaGc0o0/edit?usp=sharing"",""งบพรบ!EJ23"")"),0)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IFERROR(__xludf.DUMMYFUNCTION("IMPORTRANGE(""https://docs.google.com/spreadsheets/d/1MeEWN-I1oV_STSDYn1IFDPWt_1FKiwhDph83XaGc0o0/edit?usp=sharing"",""งบพรบ!EF23"")"),0)</f>
        <v>0</v>
      </c>
      <c r="M323" s="93">
        <f ca="1">IFERROR(__xludf.DUMMYFUNCTION("IMPORTRANGE(""https://docs.google.com/spreadsheets/d/1MeEWN-I1oV_STSDYn1IFDPWt_1FKiwhDph83XaGc0o0/edit?usp=sharing"",""งบพรบ!EI23"")"),0)</f>
        <v>0</v>
      </c>
      <c r="N323" s="93">
        <f ca="1">IFERROR(__xludf.DUMMYFUNCTION("IMPORTRANGE(""https://docs.google.com/spreadsheets/d/1MeEWN-I1oV_STSDYn1IFDPWt_1FKiwhDph83XaGc0o0/edit?usp=sharing"",""งบพรบ!EK23"")"),0)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IFERROR(__xludf.DUMMYFUNCTION("IMPORTRANGE(""https://docs.google.com/spreadsheets/d/1QqKyyYR6Q21VydFLVH3TRQUabQu_ym0Zz7PgGX0-kHA/edit?usp=sharing"",""แผน!EF23"")"),0)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IFERROR(__xludf.DUMMYFUNCTION("IMPORTRANGE(""https://docs.google.com/spreadsheets/d/1QqKyyYR6Q21VydFLVH3TRQUabQu_ym0Zz7PgGX0-kHA/edit?usp=sharing"",""แผน!EG23"")"),7600)</f>
        <v>7600</v>
      </c>
      <c r="J327" s="413">
        <f ca="1">J338+J341+J342+J343</f>
        <v>4914</v>
      </c>
      <c r="K327" s="414">
        <f ca="1">IF(I327&gt;0,J327*100/I327,0)</f>
        <v>64.65789473684211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4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136500</v>
      </c>
      <c r="N328" s="155">
        <f t="shared" ca="1" si="149"/>
        <v>70220</v>
      </c>
      <c r="O328" s="155">
        <f t="shared" ref="O328:O336" ca="1" si="150">IF(L328&gt;0,N328*100/L328,0)</f>
        <v>38.582417582417584</v>
      </c>
      <c r="P328" s="155">
        <f t="shared" ref="P328:P336" ca="1" si="151">IF(M328&gt;0,N328*100/M328,0)</f>
        <v>51.443223443223445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182000</v>
      </c>
      <c r="M330" s="93">
        <f t="shared" ca="1" si="152"/>
        <v>136500</v>
      </c>
      <c r="N330" s="93">
        <f t="shared" ca="1" si="152"/>
        <v>70220</v>
      </c>
      <c r="O330" s="93">
        <f t="shared" ca="1" si="150"/>
        <v>38.582417582417584</v>
      </c>
      <c r="P330" s="93">
        <f t="shared" ca="1" si="151"/>
        <v>51.443223443223445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136500</v>
      </c>
      <c r="N331" s="466">
        <f t="shared" ca="1" si="153"/>
        <v>70220</v>
      </c>
      <c r="O331" s="466">
        <f t="shared" ca="1" si="150"/>
        <v>38.582417582417584</v>
      </c>
      <c r="P331" s="466">
        <f t="shared" ca="1" si="151"/>
        <v>51.443223443223445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IFERROR(__xludf.DUMMYFUNCTION("IMPORTRANGE(""https://docs.google.com/spreadsheets/d/1MeEWN-I1oV_STSDYn1IFDPWt_1FKiwhDph83XaGc0o0/edit?usp=sharing"",""งบพรบ!EM23"")"),182000)</f>
        <v>182000</v>
      </c>
      <c r="M333" s="93">
        <f ca="1">IFERROR(__xludf.DUMMYFUNCTION("IMPORTRANGE(""https://docs.google.com/spreadsheets/d/1MeEWN-I1oV_STSDYn1IFDPWt_1FKiwhDph83XaGc0o0/edit?usp=sharing"",""งบพรบ!ER23"")"),136500)</f>
        <v>136500</v>
      </c>
      <c r="N333" s="93">
        <f ca="1">IFERROR(__xludf.DUMMYFUNCTION("IMPORTRANGE(""https://docs.google.com/spreadsheets/d/1MeEWN-I1oV_STSDYn1IFDPWt_1FKiwhDph83XaGc0o0/edit?usp=sharing"",""งบพรบ!ET23"")"),70220)</f>
        <v>70220</v>
      </c>
      <c r="O333" s="93">
        <f t="shared" ca="1" si="150"/>
        <v>38.582417582417584</v>
      </c>
      <c r="P333" s="93">
        <f t="shared" ca="1" si="151"/>
        <v>51.443223443223445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IFERROR(__xludf.DUMMYFUNCTION("IMPORTRANGE(""https://docs.google.com/spreadsheets/d/1MeEWN-I1oV_STSDYn1IFDPWt_1FKiwhDph83XaGc0o0/edit?usp=sharing"",""งบพรบ!EP23"")"),0)</f>
        <v>0</v>
      </c>
      <c r="M336" s="93">
        <f ca="1">IFERROR(__xludf.DUMMYFUNCTION("IMPORTRANGE(""https://docs.google.com/spreadsheets/d/1MeEWN-I1oV_STSDYn1IFDPWt_1FKiwhDph83XaGc0o0/edit?usp=sharing"",""งบพรบ!ES23"")"),0)</f>
        <v>0</v>
      </c>
      <c r="N336" s="93">
        <f ca="1">IFERROR(__xludf.DUMMYFUNCTION("IMPORTRANGE(""https://docs.google.com/spreadsheets/d/1MeEWN-I1oV_STSDYn1IFDPWt_1FKiwhDph83XaGc0o0/edit?usp=sharing"",""งบพรบ!EU23"")"),0)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IFERROR(__xludf.DUMMYFUNCTION("IMPORTRANGE(""https://docs.google.com/spreadsheets/d/1QqKyyYR6Q21VydFLVH3TRQUabQu_ym0Zz7PgGX0-kHA/edit?usp=sharing"",""แผน!EG23"")"),7600)</f>
        <v>7600</v>
      </c>
      <c r="J338" s="270">
        <f ca="1">IFERROR(__xludf.DUMMYFUNCTION("IMPORTRANGE(""https://docs.google.com/spreadsheets/d/1kVcqe37tkHyjCSG3S0O1AXqVkqjo8mSIZil3BcpIysc/edit?usp=sharing"",""ศูนย์!D23"")"),3894)</f>
        <v>3894</v>
      </c>
      <c r="K338" s="466">
        <f ca="1">IF(I338&gt;0,J338*100/I338,0)</f>
        <v>51.236842105263158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IFERROR(__xludf.DUMMYFUNCTION("IMPORTRANGE(""https://docs.google.com/spreadsheets/d/1QqKyyYR6Q21VydFLVH3TRQUabQu_ym0Zz7PgGX0-kHA/edit?usp=sharing"",""แผน!EH23"")"),7)</f>
        <v>7</v>
      </c>
      <c r="J340" s="270">
        <f ca="1">IFERROR(__xludf.DUMMYFUNCTION("IMPORTRANGE(""https://docs.google.com/spreadsheets/d/1kVcqe37tkHyjCSG3S0O1AXqVkqjo8mSIZil3BcpIysc/edit?usp=sharing"",""ศูนย์!E23"")"),4)</f>
        <v>4</v>
      </c>
      <c r="K340" s="466">
        <f ca="1">IF(I340&gt;0,J340*100/I340,0)</f>
        <v>57.142857142857146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IFERROR(__xludf.DUMMYFUNCTION("IMPORTRANGE(""https://docs.google.com/spreadsheets/d/1kVcqe37tkHyjCSG3S0O1AXqVkqjo8mSIZil3BcpIysc/edit?usp=sharing"",""ศูนย์!F23"")"),694)</f>
        <v>694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IFERROR(__xludf.DUMMYFUNCTION("IMPORTRANGE(""https://docs.google.com/spreadsheets/d/1kVcqe37tkHyjCSG3S0O1AXqVkqjo8mSIZil3BcpIysc/edit?usp=sharing"",""ศูนย์!G23"")"),3)</f>
        <v>3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IFERROR(__xludf.DUMMYFUNCTION("IMPORTRANGE(""https://docs.google.com/spreadsheets/d/1kVcqe37tkHyjCSG3S0O1AXqVkqjo8mSIZil3BcpIysc/edit?usp=sharing"",""ศูนย์!H23"")"),323)</f>
        <v>323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4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987190</v>
      </c>
      <c r="M345" s="155">
        <f t="shared" ca="1" si="155"/>
        <v>652180</v>
      </c>
      <c r="N345" s="155">
        <f t="shared" ca="1" si="155"/>
        <v>395912.04000000004</v>
      </c>
      <c r="O345" s="155">
        <f t="shared" ref="O345:O353" ca="1" si="156">IF(L345&gt;0,N345*100/L345,0)</f>
        <v>40.104948388861317</v>
      </c>
      <c r="P345" s="155">
        <f t="shared" ref="P345:P353" ca="1" si="157">IF(M345&gt;0,N345*100/M345,0)</f>
        <v>60.705946211168694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987190</v>
      </c>
      <c r="M347" s="93">
        <f t="shared" ca="1" si="158"/>
        <v>652180</v>
      </c>
      <c r="N347" s="93">
        <f t="shared" ca="1" si="158"/>
        <v>395912.04000000004</v>
      </c>
      <c r="O347" s="93">
        <f t="shared" ca="1" si="156"/>
        <v>40.104948388861317</v>
      </c>
      <c r="P347" s="93">
        <f t="shared" ca="1" si="157"/>
        <v>60.705946211168694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59">L349+L350</f>
        <v>851590</v>
      </c>
      <c r="M348" s="466">
        <f t="shared" ca="1" si="159"/>
        <v>516580</v>
      </c>
      <c r="N348" s="466">
        <f t="shared" ca="1" si="159"/>
        <v>260312.04</v>
      </c>
      <c r="O348" s="466">
        <f t="shared" ca="1" si="156"/>
        <v>30.567766178560106</v>
      </c>
      <c r="P348" s="466">
        <f t="shared" ca="1" si="157"/>
        <v>50.391428239575674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IFERROR(__xludf.DUMMYFUNCTION("IMPORTRANGE(""https://docs.google.com/spreadsheets/d/1MeEWN-I1oV_STSDYn1IFDPWt_1FKiwhDph83XaGc0o0/edit?usp=sharing"",""งบพรบ!EW23"")"),851590)</f>
        <v>851590</v>
      </c>
      <c r="M350" s="93">
        <f ca="1">IFERROR(__xludf.DUMMYFUNCTION("IMPORTRANGE(""https://docs.google.com/spreadsheets/d/1MeEWN-I1oV_STSDYn1IFDPWt_1FKiwhDph83XaGc0o0/edit?usp=sharing"",""งบพรบ!FB23"")"),516580)</f>
        <v>516580</v>
      </c>
      <c r="N350" s="93">
        <f ca="1">IFERROR(__xludf.DUMMYFUNCTION("IMPORTRANGE(""https://docs.google.com/spreadsheets/d/1MeEWN-I1oV_STSDYn1IFDPWt_1FKiwhDph83XaGc0o0/edit?usp=sharing"",""งบพรบ!FD23"")"),260312.04)</f>
        <v>260312.04</v>
      </c>
      <c r="O350" s="93">
        <f t="shared" ca="1" si="156"/>
        <v>30.567766178560106</v>
      </c>
      <c r="P350" s="93">
        <f t="shared" ca="1" si="157"/>
        <v>50.391428239575674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135600</v>
      </c>
      <c r="M351" s="466">
        <f t="shared" ca="1" si="160"/>
        <v>135600</v>
      </c>
      <c r="N351" s="466">
        <f t="shared" ca="1" si="160"/>
        <v>135600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IFERROR(__xludf.DUMMYFUNCTION("IMPORTRANGE(""https://docs.google.com/spreadsheets/d/1MeEWN-I1oV_STSDYn1IFDPWt_1FKiwhDph83XaGc0o0/edit?usp=sharing"",""งบพรบ!EZ23"")"),135600)</f>
        <v>135600</v>
      </c>
      <c r="M353" s="93">
        <f ca="1">IFERROR(__xludf.DUMMYFUNCTION("IMPORTRANGE(""https://docs.google.com/spreadsheets/d/1MeEWN-I1oV_STSDYn1IFDPWt_1FKiwhDph83XaGc0o0/edit?usp=sharing"",""งบพรบ!FC23"")"),135600)</f>
        <v>135600</v>
      </c>
      <c r="N353" s="93">
        <f ca="1">IFERROR(__xludf.DUMMYFUNCTION("IMPORTRANGE(""https://docs.google.com/spreadsheets/d/1MeEWN-I1oV_STSDYn1IFDPWt_1FKiwhDph83XaGc0o0/edit?usp=sharing"",""งบพรบ!FE23"")"),135600)</f>
        <v>135600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IFERROR(__xludf.DUMMYFUNCTION("IMPORTRANGE(""https://docs.google.com/spreadsheets/d/1QqKyyYR6Q21VydFLVH3TRQUabQu_ym0Zz7PgGX0-kHA/edit?usp=sharing"",""แผน!EP23"")"),685)</f>
        <v>685</v>
      </c>
      <c r="J355" s="433">
        <f ca="1">J362</f>
        <v>29</v>
      </c>
      <c r="K355" s="434">
        <f ca="1">IF(I355&gt;0,J355*100/I355,0)</f>
        <v>4.2335766423357661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IFERROR(__xludf.DUMMYFUNCTION("IMPORTRANGE(""https://docs.google.com/spreadsheets/d/1XWAQStnk-4SwqDmLtmXYiTMKHgktTP8We1SCoS47DrQ/edit?usp=sharing"",""จัดที่ดิน!W23"")"),15)</f>
        <v>15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IFERROR(__xludf.DUMMYFUNCTION("IMPORTRANGE(""https://docs.google.com/spreadsheets/d/1QqKyyYR6Q21VydFLVH3TRQUabQu_ym0Zz7PgGX0-kHA/edit?usp=sharing"",""แผน!EO23"")"),5000)</f>
        <v>5000</v>
      </c>
      <c r="J359" s="270">
        <f ca="1">IFERROR(__xludf.DUMMYFUNCTION("IMPORTRANGE(""https://docs.google.com/spreadsheets/d/1XWAQStnk-4SwqDmLtmXYiTMKHgktTP8We1SCoS47DrQ/edit?usp=sharing"",""จัดที่ดิน!X23"")"),412.65)</f>
        <v>412.65</v>
      </c>
      <c r="K359" s="466">
        <f t="shared" ca="1" si="161"/>
        <v>8.2530000000000001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IFERROR(__xludf.DUMMYFUNCTION("IMPORTRANGE(""https://docs.google.com/spreadsheets/d/1QqKyyYR6Q21VydFLVH3TRQUabQu_ym0Zz7PgGX0-kHA/edit?usp=sharing"",""แผน!EP23"")"),685)</f>
        <v>685</v>
      </c>
      <c r="J360" s="270">
        <f ca="1">IFERROR(__xludf.DUMMYFUNCTION("IMPORTRANGE(""https://docs.google.com/spreadsheets/d/1XWAQStnk-4SwqDmLtmXYiTMKHgktTP8We1SCoS47DrQ/edit?usp=sharing"",""จัดที่ดิน!Y23"")"),66)</f>
        <v>66</v>
      </c>
      <c r="K360" s="466">
        <f t="shared" ca="1" si="161"/>
        <v>9.6350364963503647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IFERROR(__xludf.DUMMYFUNCTION("IMPORTRANGE(""https://docs.google.com/spreadsheets/d/1XWAQStnk-4SwqDmLtmXYiTMKHgktTP8We1SCoS47DrQ/edit?usp=sharing"",""จัดที่ดิน!Z23"")"),1097.14999999999)</f>
        <v>1097.1499999999901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IFERROR(__xludf.DUMMYFUNCTION("IMPORTRANGE(""https://docs.google.com/spreadsheets/d/1QqKyyYR6Q21VydFLVH3TRQUabQu_ym0Zz7PgGX0-kHA/edit?usp=sharing"",""แผน!EP23"")"),685)</f>
        <v>685</v>
      </c>
      <c r="J362" s="270">
        <f ca="1">IFERROR(__xludf.DUMMYFUNCTION("IMPORTRANGE(""https://docs.google.com/spreadsheets/d/1XWAQStnk-4SwqDmLtmXYiTMKHgktTP8We1SCoS47DrQ/edit?usp=sharing"",""จัดที่ดิน!AA23"")"),29)</f>
        <v>29</v>
      </c>
      <c r="K362" s="466">
        <f t="shared" ca="1" si="161"/>
        <v>4.2335766423357661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IFERROR(__xludf.DUMMYFUNCTION("IMPORTRANGE(""https://docs.google.com/spreadsheets/d/1XWAQStnk-4SwqDmLtmXYiTMKHgktTP8We1SCoS47DrQ/edit?usp=sharing"",""จัดที่ดิน!AB23"")"),544.77)</f>
        <v>544.77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1285</v>
      </c>
      <c r="J364" s="447">
        <f t="shared" ca="1" si="162"/>
        <v>322</v>
      </c>
      <c r="K364" s="448">
        <f t="shared" ca="1" si="161"/>
        <v>25.058365758754864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IFERROR(__xludf.DUMMYFUNCTION("IMPORTRANGE(""https://docs.google.com/spreadsheets/d/1QqKyyYR6Q21VydFLVH3TRQUabQu_ym0Zz7PgGX0-kHA/edit?usp=sharing"",""แผน!EJ23"")"),100)</f>
        <v>100</v>
      </c>
      <c r="J365" s="459">
        <f ca="1">J372</f>
        <v>29</v>
      </c>
      <c r="K365" s="460">
        <f t="shared" ca="1" si="161"/>
        <v>29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IFERROR(__xludf.DUMMYFUNCTION("IMPORTRANGE(""https://docs.google.com/spreadsheets/d/1XWAQStnk-4SwqDmLtmXYiTMKHgktTP8We1SCoS47DrQ/edit?usp=sharing"",""จัดที่ดิน!E23"")"),9)</f>
        <v>9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IFERROR(__xludf.DUMMYFUNCTION("IMPORTRANGE(""https://docs.google.com/spreadsheets/d/1QqKyyYR6Q21VydFLVH3TRQUabQu_ym0Zz7PgGX0-kHA/edit?usp=sharing"",""แผน!EI23"")"),1000)</f>
        <v>1000</v>
      </c>
      <c r="J369" s="270">
        <f ca="1">IFERROR(__xludf.DUMMYFUNCTION("IMPORTRANGE(""https://docs.google.com/spreadsheets/d/1XWAQStnk-4SwqDmLtmXYiTMKHgktTP8We1SCoS47DrQ/edit?usp=sharing"",""จัดที่ดิน!F23"")"),310.04)</f>
        <v>310.04000000000002</v>
      </c>
      <c r="K369" s="466">
        <f t="shared" ca="1" si="163"/>
        <v>31.004000000000005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IFERROR(__xludf.DUMMYFUNCTION("IMPORTRANGE(""https://docs.google.com/spreadsheets/d/1QqKyyYR6Q21VydFLVH3TRQUabQu_ym0Zz7PgGX0-kHA/edit?usp=sharing"",""แผน!EJ23"")"),100)</f>
        <v>100</v>
      </c>
      <c r="J370" s="270">
        <f ca="1">IFERROR(__xludf.DUMMYFUNCTION("IMPORTRANGE(""https://docs.google.com/spreadsheets/d/1XWAQStnk-4SwqDmLtmXYiTMKHgktTP8We1SCoS47DrQ/edit?usp=sharing"",""จัดที่ดิน!G23"")"),60)</f>
        <v>60</v>
      </c>
      <c r="K370" s="466">
        <f t="shared" ca="1" si="163"/>
        <v>60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IFERROR(__xludf.DUMMYFUNCTION("IMPORTRANGE(""https://docs.google.com/spreadsheets/d/1XWAQStnk-4SwqDmLtmXYiTMKHgktTP8We1SCoS47DrQ/edit?usp=sharing"",""จัดที่ดิน!H23"")"),994.54)</f>
        <v>994.54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IFERROR(__xludf.DUMMYFUNCTION("IMPORTRANGE(""https://docs.google.com/spreadsheets/d/1QqKyyYR6Q21VydFLVH3TRQUabQu_ym0Zz7PgGX0-kHA/edit?usp=sharing"",""แผน!EJ23"")"),100)</f>
        <v>100</v>
      </c>
      <c r="J372" s="270">
        <f ca="1">IFERROR(__xludf.DUMMYFUNCTION("IMPORTRANGE(""https://docs.google.com/spreadsheets/d/1XWAQStnk-4SwqDmLtmXYiTMKHgktTP8We1SCoS47DrQ/edit?usp=sharing"",""จัดที่ดิน!I23"")"),29)</f>
        <v>29</v>
      </c>
      <c r="K372" s="466">
        <f t="shared" ca="1" si="163"/>
        <v>29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IFERROR(__xludf.DUMMYFUNCTION("IMPORTRANGE(""https://docs.google.com/spreadsheets/d/1XWAQStnk-4SwqDmLtmXYiTMKHgktTP8We1SCoS47DrQ/edit?usp=sharing"",""จัดที่ดิน!J23"")"),544.77)</f>
        <v>544.77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IFERROR(__xludf.DUMMYFUNCTION("IMPORTRANGE(""https://docs.google.com/spreadsheets/d/1QqKyyYR6Q21VydFLVH3TRQUabQu_ym0Zz7PgGX0-kHA/edit?usp=sharing"",""แผน!EU23"")"),1185)</f>
        <v>1185</v>
      </c>
      <c r="J374" s="459">
        <f ca="1">J381</f>
        <v>293</v>
      </c>
      <c r="K374" s="460">
        <f t="shared" ca="1" si="163"/>
        <v>24.725738396624472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IFERROR(__xludf.DUMMYFUNCTION("IMPORTRANGE(""https://docs.google.com/spreadsheets/d/1XWAQStnk-4SwqDmLtmXYiTMKHgktTP8We1SCoS47DrQ/edit?usp=sharing"",""จัดที่ดิน!AH23"")"),6)</f>
        <v>6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IFERROR(__xludf.DUMMYFUNCTION("IMPORTRANGE(""https://docs.google.com/spreadsheets/d/1QqKyyYR6Q21VydFLVH3TRQUabQu_ym0Zz7PgGX0-kHA/edit?usp=sharing"",""แผน!ET23"")"),4000)</f>
        <v>4000</v>
      </c>
      <c r="J378" s="270">
        <f ca="1">IFERROR(__xludf.DUMMYFUNCTION("IMPORTRANGE(""https://docs.google.com/spreadsheets/d/1XWAQStnk-4SwqDmLtmXYiTMKHgktTP8We1SCoS47DrQ/edit?usp=sharing"",""จัดที่ดิน!AI23"")"),102.61)</f>
        <v>102.61</v>
      </c>
      <c r="K378" s="466">
        <f t="shared" ca="1" si="164"/>
        <v>2.5652499999999998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IFERROR(__xludf.DUMMYFUNCTION("IMPORTRANGE(""https://docs.google.com/spreadsheets/d/1QqKyyYR6Q21VydFLVH3TRQUabQu_ym0Zz7PgGX0-kHA/edit?usp=sharing"",""แผน!EU23"")"),1185)</f>
        <v>1185</v>
      </c>
      <c r="J379" s="270">
        <f ca="1">IFERROR(__xludf.DUMMYFUNCTION("IMPORTRANGE(""https://docs.google.com/spreadsheets/d/1XWAQStnk-4SwqDmLtmXYiTMKHgktTP8We1SCoS47DrQ/edit?usp=sharing"",""จัดที่ดิน!AJ23"")"),299)</f>
        <v>299</v>
      </c>
      <c r="K379" s="466">
        <f t="shared" ca="1" si="164"/>
        <v>25.232067510548521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IFERROR(__xludf.DUMMYFUNCTION("IMPORTRANGE(""https://docs.google.com/spreadsheets/d/1XWAQStnk-4SwqDmLtmXYiTMKHgktTP8We1SCoS47DrQ/edit?usp=sharing"",""จัดที่ดิน!AK23"")"),5305.17)</f>
        <v>5305.17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IFERROR(__xludf.DUMMYFUNCTION("IMPORTRANGE(""https://docs.google.com/spreadsheets/d/1QqKyyYR6Q21VydFLVH3TRQUabQu_ym0Zz7PgGX0-kHA/edit?usp=sharing"",""แผน!EU23"")"),1185)</f>
        <v>1185</v>
      </c>
      <c r="J381" s="270">
        <f ca="1">IFERROR(__xludf.DUMMYFUNCTION("IMPORTRANGE(""https://docs.google.com/spreadsheets/d/1XWAQStnk-4SwqDmLtmXYiTMKHgktTP8We1SCoS47DrQ/edit?usp=sharing"",""จัดที่ดิน!AL23"")"),293)</f>
        <v>293</v>
      </c>
      <c r="K381" s="466">
        <f t="shared" ca="1" si="164"/>
        <v>24.725738396624472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IFERROR(__xludf.DUMMYFUNCTION("IMPORTRANGE(""https://docs.google.com/spreadsheets/d/1XWAQStnk-4SwqDmLtmXYiTMKHgktTP8We1SCoS47DrQ/edit?usp=sharing"",""จัดที่ดิน!AM23"")"),5202.56)</f>
        <v>5202.5600000000004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IFERROR(__xludf.DUMMYFUNCTION("IMPORTRANGE(""https://docs.google.com/spreadsheets/d/1QqKyyYR6Q21VydFLVH3TRQUabQu_ym0Zz7PgGX0-kHA/edit?usp=sharing"",""แผน!EW23"")"),10)</f>
        <v>10</v>
      </c>
      <c r="J385" s="469">
        <f ca="1">IFERROR(__xludf.DUMMYFUNCTION("IMPORTRANGE(""https://docs.google.com/spreadsheets/d/1XWAQStnk-4SwqDmLtmXYiTMKHgktTP8We1SCoS47DrQ/edit?usp=sharing"",""จัดที่ดิน!AP23"")"),6)</f>
        <v>6</v>
      </c>
      <c r="K385" s="470">
        <f ca="1">IF(I385&gt;0,J385*100/I385,0)</f>
        <v>60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4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IFERROR(__xludf.DUMMYFUNCTION("IMPORTRANGE(""https://docs.google.com/spreadsheets/d/1MeEWN-I1oV_STSDYn1IFDPWt_1FKiwhDph83XaGc0o0/edit?usp=sharing"",""งบพรบ!FG23"")"),0)</f>
        <v>0</v>
      </c>
      <c r="M394" s="93">
        <f ca="1">IFERROR(__xludf.DUMMYFUNCTION("IMPORTRANGE(""https://docs.google.com/spreadsheets/d/1MeEWN-I1oV_STSDYn1IFDPWt_1FKiwhDph83XaGc0o0/edit?usp=sharing"",""งบพรบ!FL23"")"),0)</f>
        <v>0</v>
      </c>
      <c r="N394" s="93">
        <f ca="1">IFERROR(__xludf.DUMMYFUNCTION("IMPORTRANGE(""https://docs.google.com/spreadsheets/d/1MeEWN-I1oV_STSDYn1IFDPWt_1FKiwhDph83XaGc0o0/edit?usp=sharing"",""งบพรบ!FN23"")"),0)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IFERROR(__xludf.DUMMYFUNCTION("IMPORTRANGE(""https://docs.google.com/spreadsheets/d/1MeEWN-I1oV_STSDYn1IFDPWt_1FKiwhDph83XaGc0o0/edit?usp=sharing"",""งบพรบ!FJ23"")"),0)</f>
        <v>0</v>
      </c>
      <c r="M397" s="93">
        <f ca="1">IFERROR(__xludf.DUMMYFUNCTION("IMPORTRANGE(""https://docs.google.com/spreadsheets/d/1MeEWN-I1oV_STSDYn1IFDPWt_1FKiwhDph83XaGc0o0/edit?usp=sharing"",""งบพรบ!FM23"")"),0)</f>
        <v>0</v>
      </c>
      <c r="N397" s="93">
        <f ca="1">IFERROR(__xludf.DUMMYFUNCTION("IMPORTRANGE(""https://docs.google.com/spreadsheets/d/1MeEWN-I1oV_STSDYn1IFDPWt_1FKiwhDph83XaGc0o0/edit?usp=sharing"",""งบพรบ!FO23"")"),0)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4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IFERROR(__xludf.DUMMYFUNCTION("IMPORTRANGE(""https://docs.google.com/spreadsheets/d/1MeEWN-I1oV_STSDYn1IFDPWt_1FKiwhDph83XaGc0o0/edit?usp=sharing"",""งบพรบ!FQ23"")"),0)</f>
        <v>0</v>
      </c>
      <c r="M407" s="93">
        <f ca="1">IFERROR(__xludf.DUMMYFUNCTION("IMPORTRANGE(""https://docs.google.com/spreadsheets/d/1MeEWN-I1oV_STSDYn1IFDPWt_1FKiwhDph83XaGc0o0/edit?usp=sharing"",""งบพรบ!FV23"")"),0)</f>
        <v>0</v>
      </c>
      <c r="N407" s="93">
        <f ca="1">IFERROR(__xludf.DUMMYFUNCTION("IMPORTRANGE(""https://docs.google.com/spreadsheets/d/1MeEWN-I1oV_STSDYn1IFDPWt_1FKiwhDph83XaGc0o0/edit?usp=sharing"",""งบพรบ!FX23"")"),0)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IFERROR(__xludf.DUMMYFUNCTION("IMPORTRANGE(""https://docs.google.com/spreadsheets/d/1MeEWN-I1oV_STSDYn1IFDPWt_1FKiwhDph83XaGc0o0/edit?usp=sharing"",""งบพรบ!FT23"")"),0)</f>
        <v>0</v>
      </c>
      <c r="M410" s="93">
        <f ca="1">IFERROR(__xludf.DUMMYFUNCTION("IMPORTRANGE(""https://docs.google.com/spreadsheets/d/1MeEWN-I1oV_STSDYn1IFDPWt_1FKiwhDph83XaGc0o0/edit?usp=sharing"",""งบพรบ!FW23"")"),0)</f>
        <v>0</v>
      </c>
      <c r="N410" s="93">
        <f ca="1">IFERROR(__xludf.DUMMYFUNCTION("IMPORTRANGE(""https://docs.google.com/spreadsheets/d/1MeEWN-I1oV_STSDYn1IFDPWt_1FKiwhDph83XaGc0o0/edit?usp=sharing"",""งบพรบ!FY23"")"),0)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2855163</v>
      </c>
      <c r="M414" s="517">
        <f t="shared" si="181"/>
        <v>0</v>
      </c>
      <c r="N414" s="517">
        <f t="shared" si="181"/>
        <v>721506.60000000009</v>
      </c>
      <c r="O414" s="517">
        <f ca="1">IF(L414&gt;0,N414*100/L414,0)</f>
        <v>25.270242014203749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20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100960</v>
      </c>
      <c r="M419" s="155">
        <f t="shared" si="184"/>
        <v>0</v>
      </c>
      <c r="N419" s="155">
        <f t="shared" si="184"/>
        <v>77362.5</v>
      </c>
      <c r="O419" s="155">
        <f t="shared" ref="O419:O424" ca="1" si="185">IF(L419&gt;0,N419*100/L419,0)</f>
        <v>76.62688193343898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100960</v>
      </c>
      <c r="M421" s="93">
        <f t="shared" si="187"/>
        <v>0</v>
      </c>
      <c r="N421" s="93">
        <f t="shared" si="187"/>
        <v>77362.5</v>
      </c>
      <c r="O421" s="93">
        <f t="shared" ca="1" si="185"/>
        <v>76.62688193343898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8">L423+L424</f>
        <v>100960</v>
      </c>
      <c r="M422" s="466">
        <f t="shared" si="188"/>
        <v>0</v>
      </c>
      <c r="N422" s="466">
        <f t="shared" si="188"/>
        <v>77362.5</v>
      </c>
      <c r="O422" s="466">
        <f t="shared" ca="1" si="185"/>
        <v>76.62688193343898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IFERROR(__xludf.DUMMYFUNCTION("IMPORTRANGE(""https://docs.google.com/spreadsheets/d/1QqKyyYR6Q21VydFLVH3TRQUabQu_ym0Zz7PgGX0-kHA/edit?usp=sharing"",""แผน!EY23"")"),100960)</f>
        <v>100960</v>
      </c>
      <c r="M424" s="93">
        <v>0</v>
      </c>
      <c r="N424" s="93">
        <f>N425+N426+N427+N428</f>
        <v>77362.5</v>
      </c>
      <c r="O424" s="93">
        <f t="shared" ca="1" si="185"/>
        <v>76.62688193343898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v>73687.5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v>3675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20</v>
      </c>
      <c r="J433" s="64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t="shared" ref="I434:J434" ca="1" si="193">I438+I440</f>
        <v>1</v>
      </c>
      <c r="J434" s="648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IFERROR(__xludf.DUMMYFUNCTION("IMPORTRANGE(""https://docs.google.com/spreadsheets/d/1QqKyyYR6Q21VydFLVH3TRQUabQu_ym0Zz7PgGX0-kHA/edit?usp=sharing"",""แผน!FC23"")"),20)</f>
        <v>20</v>
      </c>
      <c r="J435" s="549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IFERROR(__xludf.DUMMYFUNCTION("IMPORTRANGE(""https://docs.google.com/spreadsheets/d/1QqKyyYR6Q21VydFLVH3TRQUabQu_ym0Zz7PgGX0-kHA/edit?usp=sharing"",""แผน!FD23"")"),0)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IFERROR(__xludf.DUMMYFUNCTION("IMPORTRANGE(""https://docs.google.com/spreadsheets/d/1QqKyyYR6Q21VydFLVH3TRQUabQu_ym0Zz7PgGX0-kHA/edit?usp=sharing"",""แผน!FE23"")"),0)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IFERROR(__xludf.DUMMYFUNCTION("IMPORTRANGE(""https://docs.google.com/spreadsheets/d/1QqKyyYR6Q21VydFLVH3TRQUabQu_ym0Zz7PgGX0-kHA/edit?usp=sharing"",""แผน!FF23"")"),20)</f>
        <v>20</v>
      </c>
      <c r="J439" s="549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IFERROR(__xludf.DUMMYFUNCTION("IMPORTRANGE(""https://docs.google.com/spreadsheets/d/1QqKyyYR6Q21VydFLVH3TRQUabQu_ym0Zz7PgGX0-kHA/edit?usp=sharing"",""แผน!FG23"")"),1)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IFERROR(__xludf.DUMMYFUNCTION("IMPORTRANGE(""https://docs.google.com/spreadsheets/d/1QqKyyYR6Q21VydFLVH3TRQUabQu_ym0Zz7PgGX0-kHA/edit?usp=sharing"",""แผน!FH23"")"),0)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100</v>
      </c>
      <c r="J442" s="555">
        <f t="shared" si="195"/>
        <v>100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475</v>
      </c>
      <c r="J443" s="533">
        <f t="shared" si="196"/>
        <v>475</v>
      </c>
      <c r="K443" s="534">
        <f t="shared" ca="1" si="194"/>
        <v>100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840780</v>
      </c>
      <c r="M444" s="195">
        <f t="shared" si="197"/>
        <v>0</v>
      </c>
      <c r="N444" s="195">
        <f t="shared" si="197"/>
        <v>203100</v>
      </c>
      <c r="O444" s="195">
        <f t="shared" ref="O444:O449" ca="1" si="198">IF(L444&gt;0,N444*100/L444,0)</f>
        <v>24.15614072646828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0"/>
        <v>840780</v>
      </c>
      <c r="M446" s="93">
        <f t="shared" si="200"/>
        <v>0</v>
      </c>
      <c r="N446" s="93">
        <f t="shared" si="200"/>
        <v>203100</v>
      </c>
      <c r="O446" s="93">
        <f t="shared" ca="1" si="198"/>
        <v>24.15614072646828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1">L448+L449</f>
        <v>840780</v>
      </c>
      <c r="M447" s="466">
        <f t="shared" si="201"/>
        <v>0</v>
      </c>
      <c r="N447" s="466">
        <f t="shared" si="201"/>
        <v>203100</v>
      </c>
      <c r="O447" s="466">
        <f t="shared" ca="1" si="198"/>
        <v>24.15614072646828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IFERROR(__xludf.DUMMYFUNCTION("IMPORTRANGE(""https://docs.google.com/spreadsheets/d/1QqKyyYR6Q21VydFLVH3TRQUabQu_ym0Zz7PgGX0-kHA/edit?usp=sharing"",""แผน!FJ23"")"),840780)</f>
        <v>840780</v>
      </c>
      <c r="M449" s="93">
        <v>0</v>
      </c>
      <c r="N449" s="93">
        <f>N450+N451+N452+N453</f>
        <v>203100</v>
      </c>
      <c r="O449" s="93">
        <f t="shared" ca="1" si="198"/>
        <v>24.15614072646828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v>144960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v>52000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v>6140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IFERROR(__xludf.DUMMYFUNCTION("IMPORTRANGE(""https://docs.google.com/spreadsheets/d/1QqKyyYR6Q21VydFLVH3TRQUabQu_ym0Zz7PgGX0-kHA/edit?usp=sharing"",""แผน!FN23"")"),100)</f>
        <v>100</v>
      </c>
      <c r="J460" s="215">
        <v>100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IFERROR(__xludf.DUMMYFUNCTION("IMPORTRANGE(""https://docs.google.com/spreadsheets/d/1QqKyyYR6Q21VydFLVH3TRQUabQu_ym0Zz7PgGX0-kHA/edit?usp=sharing"",""แผน!FO23"")"),475)</f>
        <v>475</v>
      </c>
      <c r="J462" s="215">
        <v>475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IFERROR(__xludf.DUMMYFUNCTION("IMPORTRANGE(""https://docs.google.com/spreadsheets/d/1QqKyyYR6Q21VydFLVH3TRQUabQu_ym0Zz7PgGX0-kHA/edit?usp=sharing"",""แผน!FO23"")"),475)</f>
        <v>475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IFERROR(__xludf.DUMMYFUNCTION("IMPORTRANGE(""https://docs.google.com/spreadsheets/d/1QqKyyYR6Q21VydFLVH3TRQUabQu_ym0Zz7PgGX0-kHA/edit?usp=sharing"",""แผน!FN23"")"),100)</f>
        <v>100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IFERROR(__xludf.DUMMYFUNCTION("IMPORTRANGE(""https://docs.google.com/spreadsheets/d/1QqKyyYR6Q21VydFLVH3TRQUabQu_ym0Zz7PgGX0-kHA/edit?usp=sharing"",""แผน!FX23"")"),51)</f>
        <v>51</v>
      </c>
      <c r="J465" s="555">
        <f>J485+J489+J492</f>
        <v>51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IFERROR(__xludf.DUMMYFUNCTION("IMPORTRANGE(""https://docs.google.com/spreadsheets/d/1QqKyyYR6Q21VydFLVH3TRQUabQu_ym0Zz7PgGX0-kHA/edit?usp=sharing"",""แผน!FW23"")"),500)</f>
        <v>500</v>
      </c>
      <c r="J466" s="533">
        <f>J495+J498</f>
        <v>50</v>
      </c>
      <c r="K466" s="534">
        <f t="shared" ca="1" si="205"/>
        <v>10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410323</v>
      </c>
      <c r="M467" s="195">
        <f t="shared" si="206"/>
        <v>0</v>
      </c>
      <c r="N467" s="195">
        <f t="shared" si="206"/>
        <v>114060</v>
      </c>
      <c r="O467" s="195">
        <f t="shared" ref="O467:O472" ca="1" si="207">IF(L467&gt;0,N467*100/L467,0)</f>
        <v>27.797613099923719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09"/>
        <v>410323</v>
      </c>
      <c r="M469" s="93">
        <f t="shared" si="209"/>
        <v>0</v>
      </c>
      <c r="N469" s="93">
        <f t="shared" si="209"/>
        <v>114060</v>
      </c>
      <c r="O469" s="93">
        <f t="shared" ca="1" si="207"/>
        <v>27.797613099923719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0">L471+L472</f>
        <v>410323</v>
      </c>
      <c r="M470" s="466">
        <f t="shared" si="210"/>
        <v>0</v>
      </c>
      <c r="N470" s="466">
        <f t="shared" si="210"/>
        <v>114060</v>
      </c>
      <c r="O470" s="466">
        <f t="shared" ca="1" si="207"/>
        <v>27.797613099923719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IFERROR(__xludf.DUMMYFUNCTION("IMPORTRANGE(""https://docs.google.com/spreadsheets/d/1QqKyyYR6Q21VydFLVH3TRQUabQu_ym0Zz7PgGX0-kHA/edit?usp=sharing"",""แผน!FS23"")"),410323)</f>
        <v>410323</v>
      </c>
      <c r="M472" s="93">
        <v>0</v>
      </c>
      <c r="N472" s="93">
        <f>N473+N474+N475+N476</f>
        <v>114060</v>
      </c>
      <c r="O472" s="93">
        <f t="shared" ca="1" si="207"/>
        <v>27.797613099923719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>
        <v>71800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>
        <v>35000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v>7260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IFERROR(__xludf.DUMMYFUNCTION("IMPORTRANGE(""https://docs.google.com/spreadsheets/d/1QqKyyYR6Q21VydFLVH3TRQUabQu_ym0Zz7PgGX0-kHA/edit?usp=sharing"",""แผน!FY23"")"),450)</f>
        <v>450</v>
      </c>
      <c r="J483" s="215">
        <v>450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45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IFERROR(__xludf.DUMMYFUNCTION("IMPORTRANGE(""https://docs.google.com/spreadsheets/d/1QqKyyYR6Q21VydFLVH3TRQUabQu_ym0Zz7PgGX0-kHA/edit?usp=sharing"",""แผน!FZ23"")"),45)</f>
        <v>45</v>
      </c>
      <c r="J485" s="215">
        <v>45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IFERROR(__xludf.DUMMYFUNCTION("IMPORTRANGE(""https://docs.google.com/spreadsheets/d/1QqKyyYR6Q21VydFLVH3TRQUabQu_ym0Zz7PgGX0-kHA/edit?usp=sharing"",""แผน!GA23"")"),50)</f>
        <v>50</v>
      </c>
      <c r="J487" s="215">
        <v>50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5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IFERROR(__xludf.DUMMYFUNCTION("IMPORTRANGE(""https://docs.google.com/spreadsheets/d/1QqKyyYR6Q21VydFLVH3TRQUabQu_ym0Zz7PgGX0-kHA/edit?usp=sharing"",""แผน!GB23"")"),5)</f>
        <v>5</v>
      </c>
      <c r="J489" s="215">
        <v>5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IFERROR(__xludf.DUMMYFUNCTION("IMPORTRANGE(""https://docs.google.com/spreadsheets/d/1QqKyyYR6Q21VydFLVH3TRQUabQu_ym0Zz7PgGX0-kHA/edit?usp=sharing"",""แผน!GC23"")"),1)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IFERROR(__xludf.DUMMYFUNCTION("IMPORTRANGE(""https://docs.google.com/spreadsheets/d/1QqKyyYR6Q21VydFLVH3TRQUabQu_ym0Zz7PgGX0-kHA/edit?usp=sharing"",""แผน!FY23"")"),450)</f>
        <v>450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IFERROR(__xludf.DUMMYFUNCTION("IMPORTRANGE(""https://docs.google.com/spreadsheets/d/1QqKyyYR6Q21VydFLVH3TRQUabQu_ym0Zz7PgGX0-kHA/edit?usp=sharing"",""แผน!GA23"")"),50)</f>
        <v>50</v>
      </c>
      <c r="J498" s="215">
        <v>50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5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6">L503+L504</f>
        <v>0</v>
      </c>
      <c r="M502" s="614">
        <f t="shared" si="216"/>
        <v>0</v>
      </c>
      <c r="N502" s="614">
        <f t="shared" si="216"/>
        <v>0</v>
      </c>
      <c r="O502" s="614">
        <f t="shared" ref="O502:O507" si="217">IF(L502&gt;0,N502*100/L502,0)</f>
        <v>0</v>
      </c>
      <c r="P502" s="614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6"/>
      <c r="D505" s="853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853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 hidden="1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5">I537</f>
        <v>0</v>
      </c>
      <c r="J522" s="675">
        <f t="shared" ca="1" si="225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IFERROR(__xludf.DUMMYFUNCTION("IMPORTRANGE(""https://docs.google.com/spreadsheets/d/1QqKyyYR6Q21VydFLVH3TRQUabQu_ym0Zz7PgGX0-kHA/edit?usp=sharing"",""แผน!GU23"")"),0)</f>
        <v>0</v>
      </c>
      <c r="J537" s="648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 hidden="1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IFERROR(__xludf.DUMMYFUNCTION("IMPORTRANGE(""https://docs.google.com/spreadsheets/d/1QqKyyYR6Q21VydFLVH3TRQUabQu_ym0Zz7PgGX0-kHA/edit?usp=sharing"",""แผน!GV23"")"),0)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 hidden="1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IFERROR(__xludf.DUMMYFUNCTION("IMPORTRANGE(""https://docs.google.com/spreadsheets/d/1QqKyyYR6Q21VydFLVH3TRQUabQu_ym0Zz7PgGX0-kHA/edit?usp=sharing"",""แผน!GW23"")"),0)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 hidden="1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IFERROR(__xludf.DUMMYFUNCTION("IMPORTRANGE(""https://docs.google.com/spreadsheets/d/1QqKyyYR6Q21VydFLVH3TRQUabQu_ym0Zz7PgGX0-kHA/edit?usp=sharing"",""แผน!GX23"")"),0)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 hidden="1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IFERROR(__xludf.DUMMYFUNCTION("IMPORTRANGE(""https://docs.google.com/spreadsheets/d/1QqKyyYR6Q21VydFLVH3TRQUabQu_ym0Zz7PgGX0-kHA/edit?usp=sharing"",""แผน!GY23"")"),0)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 hidden="1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IFERROR(__xludf.DUMMYFUNCTION("IMPORTRANGE(""https://docs.google.com/spreadsheets/d/1QqKyyYR6Q21VydFLVH3TRQUabQu_ym0Zz7PgGX0-kHA/edit?usp=sharing"",""แผน!GZ23"")"),0)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5">I559</f>
        <v>133053</v>
      </c>
      <c r="J543" s="654">
        <f t="shared" si="235"/>
        <v>0</v>
      </c>
      <c r="K543" s="655">
        <f t="shared" ca="1" si="234"/>
        <v>0</v>
      </c>
      <c r="L543" s="637"/>
      <c r="M543" s="637"/>
      <c r="N543" s="637"/>
      <c r="O543" s="637"/>
      <c r="P543" s="637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6">L545+L546</f>
        <v>618295</v>
      </c>
      <c r="M544" s="155">
        <f t="shared" si="236"/>
        <v>0</v>
      </c>
      <c r="N544" s="155">
        <f t="shared" si="236"/>
        <v>126155.15</v>
      </c>
      <c r="O544" s="155">
        <f t="shared" ref="O544:O549" ca="1" si="237">IF(L544&gt;0,N544*100/L544,0)</f>
        <v>20.403715055111235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39"/>
        <v>618295</v>
      </c>
      <c r="M546" s="93">
        <f t="shared" si="240"/>
        <v>0</v>
      </c>
      <c r="N546" s="93">
        <f t="shared" si="240"/>
        <v>126155.15</v>
      </c>
      <c r="O546" s="93">
        <f t="shared" ca="1" si="237"/>
        <v>20.403715055111235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1">L548+L549</f>
        <v>618295</v>
      </c>
      <c r="M547" s="466">
        <f t="shared" si="241"/>
        <v>0</v>
      </c>
      <c r="N547" s="466">
        <f t="shared" si="241"/>
        <v>126155.15</v>
      </c>
      <c r="O547" s="466">
        <f t="shared" ca="1" si="237"/>
        <v>20.403715055111235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IFERROR(__xludf.DUMMYFUNCTION("IMPORTRANGE(""https://docs.google.com/spreadsheets/d/1QqKyyYR6Q21VydFLVH3TRQUabQu_ym0Zz7PgGX0-kHA/edit?usp=sharing"",""แผน!HB23"")"),618295)</f>
        <v>618295</v>
      </c>
      <c r="M549" s="93">
        <v>0</v>
      </c>
      <c r="N549" s="93">
        <f>N550+N551+N552+N553+N554</f>
        <v>126155.15</v>
      </c>
      <c r="O549" s="93">
        <f t="shared" ca="1" si="237"/>
        <v>20.403715055111235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801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801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801">
        <v>52000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801">
        <v>74155.149999999994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5">I576</f>
        <v>133053</v>
      </c>
      <c r="J559" s="675">
        <f t="shared" si="245"/>
        <v>0</v>
      </c>
      <c r="K559" s="644">
        <f t="shared" ref="K559:K561" ca="1" si="246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9"/>
      <c r="H560" s="734" t="s">
        <v>46</v>
      </c>
      <c r="I560" s="193">
        <f ca="1">IFERROR(__xludf.DUMMYFUNCTION("IMPORTRANGE(""https://docs.google.com/spreadsheets/d/1QqKyyYR6Q21VydFLVH3TRQUabQu_ym0Zz7PgGX0-kHA/edit?usp=sharing"",""แผน!HH23"")"),133053)</f>
        <v>133053</v>
      </c>
      <c r="J560" s="193">
        <f t="shared" ref="J560:J561" si="247">J562+J564+J566</f>
        <v>133053</v>
      </c>
      <c r="K560" s="380">
        <f t="shared" ca="1" si="246"/>
        <v>100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9"/>
      <c r="H561" s="734" t="s">
        <v>34</v>
      </c>
      <c r="I561" s="193">
        <f ca="1">IFERROR(__xludf.DUMMYFUNCTION("IMPORTRANGE(""https://docs.google.com/spreadsheets/d/1QqKyyYR6Q21VydFLVH3TRQUabQu_ym0Zz7PgGX0-kHA/edit?usp=sharing"",""แผน!HG23"")"),7593)</f>
        <v>7593</v>
      </c>
      <c r="J561" s="193">
        <f t="shared" si="247"/>
        <v>7593</v>
      </c>
      <c r="K561" s="380">
        <f t="shared" ca="1" si="246"/>
        <v>100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v>88330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v>5462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v>39824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v>1887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v>4899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v>244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9"/>
      <c r="H568" s="734" t="s">
        <v>46</v>
      </c>
      <c r="I568" s="193">
        <f ca="1">IFERROR(__xludf.DUMMYFUNCTION("IMPORTRANGE(""https://docs.google.com/spreadsheets/d/1QqKyyYR6Q21VydFLVH3TRQUabQu_ym0Zz7PgGX0-kHA/edit?usp=sharing"",""แผน!HH23"")"),133053)</f>
        <v>133053</v>
      </c>
      <c r="J568" s="648">
        <f t="shared" ref="J568:J569" si="248">J570+J572+J574</f>
        <v>19376.519999999997</v>
      </c>
      <c r="K568" s="380">
        <f t="shared" ref="K568:K569" ca="1" si="249">IF(I568&gt;0,J568*100/I568,0)</f>
        <v>14.563008725846089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9"/>
      <c r="H569" s="734" t="s">
        <v>34</v>
      </c>
      <c r="I569" s="193">
        <f ca="1">IFERROR(__xludf.DUMMYFUNCTION("IMPORTRANGE(""https://docs.google.com/spreadsheets/d/1QqKyyYR6Q21VydFLVH3TRQUabQu_ym0Zz7PgGX0-kHA/edit?usp=sharing"",""แผน!HG23"")"),7593)</f>
        <v>7593</v>
      </c>
      <c r="J569" s="648">
        <f t="shared" si="248"/>
        <v>1047</v>
      </c>
      <c r="K569" s="380">
        <f t="shared" ca="1" si="249"/>
        <v>13.789016199130778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15971.4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899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2527.59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104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877.53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44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9"/>
      <c r="H576" s="734" t="s">
        <v>46</v>
      </c>
      <c r="I576" s="193">
        <f ca="1">IFERROR(__xludf.DUMMYFUNCTION("IMPORTRANGE(""https://docs.google.com/spreadsheets/d/1QqKyyYR6Q21VydFLVH3TRQUabQu_ym0Zz7PgGX0-kHA/edit?usp=sharing"",""แผน!HH23"")"),133053)</f>
        <v>133053</v>
      </c>
      <c r="J576" s="648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9"/>
      <c r="H577" s="734" t="s">
        <v>34</v>
      </c>
      <c r="I577" s="193">
        <f ca="1">IFERROR(__xludf.DUMMYFUNCTION("IMPORTRANGE(""https://docs.google.com/spreadsheets/d/1QqKyyYR6Q21VydFLVH3TRQUabQu_ym0Zz7PgGX0-kHA/edit?usp=sharing"",""แผน!HG23"")"),7593)</f>
        <v>7593</v>
      </c>
      <c r="J577" s="648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3">I593</f>
        <v>7886.87</v>
      </c>
      <c r="J592" s="675">
        <f t="shared" si="253"/>
        <v>222</v>
      </c>
      <c r="K592" s="644">
        <f t="shared" ref="K592:K594" ca="1" si="254">IF(I592&gt;0,J592*100/I592,0)</f>
        <v>2.8148048592153794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IFERROR(__xludf.DUMMYFUNCTION("IMPORTRANGE(""https://docs.google.com/spreadsheets/d/1QqKyyYR6Q21VydFLVH3TRQUabQu_ym0Zz7PgGX0-kHA/edit?usp=sharing"",""แผน!HJ23"")"),7886.87)</f>
        <v>7886.87</v>
      </c>
      <c r="J593" s="193">
        <f t="shared" ref="J593:J594" si="255">J595+J603+J609</f>
        <v>222</v>
      </c>
      <c r="K593" s="380">
        <f t="shared" ca="1" si="254"/>
        <v>2.8148048592153794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IFERROR(__xludf.DUMMYFUNCTION("IMPORTRANGE(""https://docs.google.com/spreadsheets/d/1QqKyyYR6Q21VydFLVH3TRQUabQu_ym0Zz7PgGX0-kHA/edit?usp=sharing"",""แผน!HI23"")"),382)</f>
        <v>382</v>
      </c>
      <c r="J594" s="193">
        <f t="shared" si="255"/>
        <v>19</v>
      </c>
      <c r="K594" s="380">
        <f t="shared" ca="1" si="254"/>
        <v>4.9738219895287958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6">J597+J599</f>
        <v>154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6"/>
        <v>16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184"/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16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799">
        <v>154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7">J605+J607</f>
        <v>68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68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3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8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59">J614+J616</f>
        <v>0</v>
      </c>
      <c r="K612" s="684">
        <f t="shared" si="258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59"/>
        <v>0</v>
      </c>
      <c r="K613" s="684">
        <f t="shared" si="258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IFERROR(__xludf.DUMMYFUNCTION("IMPORTRANGE(""https://docs.google.com/spreadsheets/d/1QqKyyYR6Q21VydFLVH3TRQUabQu_ym0Zz7PgGX0-kHA/edit?usp=sharing"",""แผน!HL23"")"),506)</f>
        <v>506</v>
      </c>
      <c r="J620" s="695">
        <f t="shared" ref="J620:J621" si="260">J622+J624+J626</f>
        <v>0</v>
      </c>
      <c r="K620" s="696">
        <f t="shared" ref="K620:K621" ca="1" si="261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IFERROR(__xludf.DUMMYFUNCTION("IMPORTRANGE(""https://docs.google.com/spreadsheets/d/1QqKyyYR6Q21VydFLVH3TRQUabQu_ym0Zz7PgGX0-kHA/edit?usp=sharing"",""แผน!HK23"")"),15)</f>
        <v>15</v>
      </c>
      <c r="J621" s="695">
        <f t="shared" si="260"/>
        <v>0</v>
      </c>
      <c r="K621" s="696">
        <f t="shared" ca="1" si="261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262">I651</f>
        <v>430</v>
      </c>
      <c r="J628" s="708">
        <f t="shared" ca="1" si="262"/>
        <v>202</v>
      </c>
      <c r="K628" s="709">
        <f ca="1">IF(I628&gt;0,J628*100/I628,0)</f>
        <v>46.97674418604651</v>
      </c>
      <c r="L628" s="710"/>
      <c r="M628" s="710"/>
      <c r="N628" s="710"/>
      <c r="O628" s="710"/>
      <c r="P628" s="710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595365</v>
      </c>
      <c r="M629" s="195">
        <f t="shared" si="263"/>
        <v>0</v>
      </c>
      <c r="N629" s="195">
        <f t="shared" si="263"/>
        <v>168988.95</v>
      </c>
      <c r="O629" s="195">
        <f t="shared" ref="O629:O634" ca="1" si="264">IF(L629&gt;0,N629*100/L629,0)</f>
        <v>28.384092111561817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6"/>
        <v>595365</v>
      </c>
      <c r="M631" s="93">
        <f t="shared" si="266"/>
        <v>0</v>
      </c>
      <c r="N631" s="93">
        <f t="shared" si="266"/>
        <v>168988.95</v>
      </c>
      <c r="O631" s="93">
        <f t="shared" ca="1" si="264"/>
        <v>28.384092111561817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7">L633+L634</f>
        <v>595365</v>
      </c>
      <c r="M632" s="466">
        <f t="shared" si="267"/>
        <v>0</v>
      </c>
      <c r="N632" s="466">
        <f t="shared" si="267"/>
        <v>168988.95</v>
      </c>
      <c r="O632" s="466">
        <f t="shared" ca="1" si="264"/>
        <v>28.384092111561817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IFERROR(__xludf.DUMMYFUNCTION("IMPORTRANGE(""https://docs.google.com/spreadsheets/d/1QqKyyYR6Q21VydFLVH3TRQUabQu_ym0Zz7PgGX0-kHA/edit?usp=sharing"",""แผน!HN23"")"),595365)</f>
        <v>595365</v>
      </c>
      <c r="M634" s="93">
        <v>0</v>
      </c>
      <c r="N634" s="93">
        <f>N635+N636+N637+N638</f>
        <v>168988.95</v>
      </c>
      <c r="O634" s="93">
        <f t="shared" ca="1" si="264"/>
        <v>28.384092111561817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52000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v>116988.95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IFERROR(__xludf.DUMMYFUNCTION("IMPORTRANGE(""https://docs.google.com/spreadsheets/d/1QqKyyYR6Q21VydFLVH3TRQUabQu_ym0Zz7PgGX0-kHA/edit?usp=sharing"",""แผน!HR23"")"),2)</f>
        <v>2</v>
      </c>
      <c r="J643" s="215">
        <v>5</v>
      </c>
      <c r="K643" s="163">
        <f t="shared" ref="K643:K652" ca="1" si="271">IF(I643&gt;0,J643*100/I643,0)</f>
        <v>250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IFERROR(__xludf.DUMMYFUNCTION("IMPORTRANGE(""https://docs.google.com/spreadsheets/d/1QqKyyYR6Q21VydFLVH3TRQUabQu_ym0Zz7PgGX0-kHA/edit?usp=sharing"",""แผน!HR23"")"),2)</f>
        <v>2</v>
      </c>
      <c r="J644" s="215">
        <v>5</v>
      </c>
      <c r="K644" s="163">
        <f t="shared" ca="1" si="271"/>
        <v>250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IFERROR(__xludf.DUMMYFUNCTION("IMPORTRANGE(""https://docs.google.com/spreadsheets/d/1XWAQStnk-4SwqDmLtmXYiTMKHgktTP8We1SCoS47DrQ/edit?usp=sharing"",""จัดที่ดิน!AS23"")"),187)</f>
        <v>187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IFERROR(__xludf.DUMMYFUNCTION("IMPORTRANGE(""https://docs.google.com/spreadsheets/d/1XWAQStnk-4SwqDmLtmXYiTMKHgktTP8We1SCoS47DrQ/edit?usp=sharing"",""จัดที่ดิน!AT23"")"),121.55)</f>
        <v>121.55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IFERROR(__xludf.DUMMYFUNCTION("IMPORTRANGE(""https://docs.google.com/spreadsheets/d/1QqKyyYR6Q21VydFLVH3TRQUabQu_ym0Zz7PgGX0-kHA/edit?usp=sharing"",""แผน!HS23"")"),430)</f>
        <v>430</v>
      </c>
      <c r="J647" s="270">
        <f ca="1">IFERROR(__xludf.DUMMYFUNCTION("IMPORTRANGE(""https://docs.google.com/spreadsheets/d/1XWAQStnk-4SwqDmLtmXYiTMKHgktTP8We1SCoS47DrQ/edit?usp=sharing"",""จัดที่ดิน!AU23"")"),118)</f>
        <v>118</v>
      </c>
      <c r="K647" s="163">
        <f t="shared" ca="1" si="271"/>
        <v>27.441860465116278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IFERROR(__xludf.DUMMYFUNCTION("IMPORTRANGE(""https://docs.google.com/spreadsheets/d/1XWAQStnk-4SwqDmLtmXYiTMKHgktTP8We1SCoS47DrQ/edit?usp=sharing"",""จัดที่ดิน!AV23"")"),64.5)</f>
        <v>64.5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IFERROR(__xludf.DUMMYFUNCTION("IMPORTRANGE(""https://docs.google.com/spreadsheets/d/1QqKyyYR6Q21VydFLVH3TRQUabQu_ym0Zz7PgGX0-kHA/edit?usp=sharing"",""แผน!HS23"")"),430)</f>
        <v>430</v>
      </c>
      <c r="J649" s="270">
        <f ca="1">IFERROR(__xludf.DUMMYFUNCTION("IMPORTRANGE(""https://docs.google.com/spreadsheets/d/1XWAQStnk-4SwqDmLtmXYiTMKHgktTP8We1SCoS47DrQ/edit?usp=sharing"",""จัดที่ดิน!AW23"")"),202)</f>
        <v>202</v>
      </c>
      <c r="K649" s="163">
        <f t="shared" ca="1" si="271"/>
        <v>46.97674418604651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IFERROR(__xludf.DUMMYFUNCTION("IMPORTRANGE(""https://docs.google.com/spreadsheets/d/1XWAQStnk-4SwqDmLtmXYiTMKHgktTP8We1SCoS47DrQ/edit?usp=sharing"",""จัดที่ดิน!AX23"")"),95.25)</f>
        <v>95.25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IFERROR(__xludf.DUMMYFUNCTION("IMPORTRANGE(""https://docs.google.com/spreadsheets/d/1QqKyyYR6Q21VydFLVH3TRQUabQu_ym0Zz7PgGX0-kHA/edit?usp=sharing"",""แผน!HS23"")"),430)</f>
        <v>430</v>
      </c>
      <c r="J651" s="270">
        <f ca="1">IFERROR(__xludf.DUMMYFUNCTION("IMPORTRANGE(""https://docs.google.com/spreadsheets/d/1XWAQStnk-4SwqDmLtmXYiTMKHgktTP8We1SCoS47DrQ/edit?usp=sharing"",""จัดที่ดิน!AY23"")"),202)</f>
        <v>202</v>
      </c>
      <c r="K651" s="163">
        <f t="shared" ca="1" si="271"/>
        <v>46.97674418604651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IFERROR(__xludf.DUMMYFUNCTION("IMPORTRANGE(""https://docs.google.com/spreadsheets/d/1XWAQStnk-4SwqDmLtmXYiTMKHgktTP8We1SCoS47DrQ/edit?usp=sharing"",""จัดที่ดิน!AZ23"")"),95.25)</f>
        <v>95.25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 hidden="1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2">I669</f>
        <v>0</v>
      </c>
      <c r="J654" s="675">
        <f t="shared" si="27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 hidden="1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 hidden="1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IFERROR(__xludf.DUMMYFUNCTION("IMPORTRANGE(""https://docs.google.com/spreadsheets/d/1QqKyyYR6Q21VydFLVH3TRQUabQu_ym0Zz7PgGX0-kHA/edit?usp=sharing"",""แผน!HV23"")"),0)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 hidden="1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 hidden="1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 hidden="1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 hidden="1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 hidden="1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 hidden="1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 hidden="1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IFERROR(__xludf.DUMMYFUNCTION("IMPORTRANGE(""https://docs.google.com/spreadsheets/d/1QqKyyYR6Q21VydFLVH3TRQUabQu_ym0Zz7PgGX0-kHA/edit?usp=sharing"",""แผน!IA23"")"),0)</f>
        <v>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 hidden="1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IFERROR(__xludf.DUMMYFUNCTION("IMPORTRANGE(""https://docs.google.com/spreadsheets/d/1QqKyyYR6Q21VydFLVH3TRQUabQu_ym0Zz7PgGX0-kHA/edit?usp=sharing"",""แผน!HZ23"")"),0)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 hidden="1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IFERROR(__xludf.DUMMYFUNCTION("IMPORTRANGE(""https://docs.google.com/spreadsheets/d/1QqKyyYR6Q21VydFLVH3TRQUabQu_ym0Zz7PgGX0-kHA/edit?usp=sharing"",""แผน!HZ23"")"),0)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 hidden="1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 hidden="1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 hidden="1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 hidden="1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 hidden="1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 hidden="1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 hidden="1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IFERROR(__xludf.DUMMYFUNCTION("IMPORTRANGE(""https://docs.google.com/spreadsheets/d/1QqKyyYR6Q21VydFLVH3TRQUabQu_ym0Zz7PgGX0-kHA/edit?usp=sharing"",""แผน!IB23"")"),0)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 hidden="1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 hidden="1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 hidden="1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 hidden="1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 hidden="1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14880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5"/>
        <v>14880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6">L689+L690</f>
        <v>14880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IFERROR(__xludf.DUMMYFUNCTION("IMPORTRANGE(""https://docs.google.com/spreadsheets/d/1QqKyyYR6Q21VydFLVH3TRQUabQu_ym0Zz7PgGX0-kHA/edit?usp=sharing"",""แผน!HW23"")"),14880)</f>
        <v>14880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IFERROR(__xludf.DUMMYFUNCTION("IMPORTRANGE(""https://docs.google.com/spreadsheets/d/1QqKyyYR6Q21VydFLVH3TRQUabQu_ym0Zz7PgGX0-kHA/edit?usp=sharing"",""แผน!IC23"")"),50)</f>
        <v>50</v>
      </c>
      <c r="J699" s="270">
        <f ca="1">IFERROR(__xludf.DUMMYFUNCTION("IMPORTRANGE(""https://docs.google.com/spreadsheets/d/1XWAQStnk-4SwqDmLtmXYiTMKHgktTP8We1SCoS47DrQ/edit?usp=sharing"",""จัดที่ดิน!BB23"")"),0)</f>
        <v>0</v>
      </c>
      <c r="K699" s="466">
        <f t="shared" ref="K699:K701" ca="1" si="290">IF(I699&gt;0,J699*100/I699,0)</f>
        <v>0</v>
      </c>
      <c r="L699" s="466"/>
      <c r="M699" s="189"/>
      <c r="N699" s="733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IFERROR(__xludf.DUMMYFUNCTION("IMPORTRANGE(""https://docs.google.com/spreadsheets/d/1QqKyyYR6Q21VydFLVH3TRQUabQu_ym0Zz7PgGX0-kHA/edit?usp=sharing"",""แผน!ID23"")"),10)</f>
        <v>10</v>
      </c>
      <c r="J700" s="270">
        <f ca="1">IFERROR(__xludf.DUMMYFUNCTION("IMPORTRANGE(""https://docs.google.com/spreadsheets/d/1XWAQStnk-4SwqDmLtmXYiTMKHgktTP8We1SCoS47DrQ/edit?usp=sharing"",""จัดที่ดิน!BD23"")"),0)</f>
        <v>0</v>
      </c>
      <c r="K700" s="466">
        <f t="shared" ca="1" si="290"/>
        <v>0</v>
      </c>
      <c r="L700" s="466"/>
      <c r="M700" s="189"/>
      <c r="N700" s="733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IFERROR(__xludf.DUMMYFUNCTION("IMPORTRANGE(""https://docs.google.com/spreadsheets/d/1QqKyyYR6Q21VydFLVH3TRQUabQu_ym0Zz7PgGX0-kHA/edit?usp=sharing"",""แผน!IE23"")"),52)</f>
        <v>52</v>
      </c>
      <c r="J701" s="648">
        <f>J704+J707</f>
        <v>0</v>
      </c>
      <c r="K701" s="195">
        <f t="shared" ca="1" si="290"/>
        <v>0</v>
      </c>
      <c r="L701" s="466"/>
      <c r="M701" s="189"/>
      <c r="N701" s="733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IFERROR(__xludf.DUMMYFUNCTION("IMPORTRANGE(""https://docs.google.com/spreadsheets/d/1QqKyyYR6Q21VydFLVH3TRQUabQu_ym0Zz7PgGX0-kHA/edit?usp=sharing"",""แผน!IF23"")"),52)</f>
        <v>52</v>
      </c>
      <c r="J704" s="215">
        <v>0</v>
      </c>
      <c r="K704" s="466"/>
      <c r="L704" s="466"/>
      <c r="M704" s="189"/>
      <c r="N704" s="733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0</v>
      </c>
      <c r="K705" s="466"/>
      <c r="L705" s="466"/>
      <c r="M705" s="189"/>
      <c r="N705" s="733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0</v>
      </c>
      <c r="K706" s="466"/>
      <c r="L706" s="466"/>
      <c r="M706" s="189"/>
      <c r="N706" s="733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IFERROR(__xludf.DUMMYFUNCTION("IMPORTRANGE(""https://docs.google.com/spreadsheets/d/1QqKyyYR6Q21VydFLVH3TRQUabQu_ym0Zz7PgGX0-kHA/edit?usp=sharing"",""แผน!IG23"")"),0)</f>
        <v>0</v>
      </c>
      <c r="J707" s="215">
        <v>0</v>
      </c>
      <c r="K707" s="466"/>
      <c r="L707" s="466"/>
      <c r="M707" s="189"/>
      <c r="N707" s="733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IFERROR(__xludf.DUMMYFUNCTION("IMPORTRANGE(""https://docs.google.com/spreadsheets/d/1QqKyyYR6Q21VydFLVH3TRQUabQu_ym0Zz7PgGX0-kHA/edit?usp=sharing"",""แผน!IH23"")"),0)</f>
        <v>0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IFERROR(__xludf.DUMMYFUNCTION("IMPORTRANGE(""https://docs.google.com/spreadsheets/d/1XWAQStnk-4SwqDmLtmXYiTMKHgktTP8We1SCoS47DrQ/edit?usp=sharing"",""จัดที่ดิน!BF23"")"),0)</f>
        <v>0</v>
      </c>
      <c r="K718" s="466"/>
      <c r="L718" s="466"/>
      <c r="M718" s="189"/>
      <c r="N718" s="733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IFERROR(__xludf.DUMMYFUNCTION("IMPORTRANGE(""https://docs.google.com/spreadsheets/d/1XWAQStnk-4SwqDmLtmXYiTMKHgktTP8We1SCoS47DrQ/edit?usp=sharing"",""จัดที่ดิน!BG23"")"),0)</f>
        <v>0</v>
      </c>
      <c r="K719" s="466"/>
      <c r="L719" s="733"/>
      <c r="M719" s="189"/>
      <c r="N719" s="733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IFERROR(__xludf.DUMMYFUNCTION("IMPORTRANGE(""https://docs.google.com/spreadsheets/d/1QqKyyYR6Q21VydFLVH3TRQUabQu_ym0Zz7PgGX0-kHA/edit?usp=sharing"",""แผน!II23"")"),0)</f>
        <v>0</v>
      </c>
      <c r="J720" s="270">
        <f ca="1">IFERROR(__xludf.DUMMYFUNCTION("IMPORTRANGE(""https://docs.google.com/spreadsheets/d/1XWAQStnk-4SwqDmLtmXYiTMKHgktTP8We1SCoS47DrQ/edit?usp=sharing"",""จัดที่ดิน!BH23"")"),0)</f>
        <v>0</v>
      </c>
      <c r="K720" s="466">
        <f t="shared" ref="K720:K723" ca="1" si="291">IF(I720&gt;0,J720*100/I720,0)</f>
        <v>0</v>
      </c>
      <c r="L720" s="733"/>
      <c r="M720" s="189"/>
      <c r="N720" s="733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IFERROR(__xludf.DUMMYFUNCTION("IMPORTRANGE(""https://docs.google.com/spreadsheets/d/1QqKyyYR6Q21VydFLVH3TRQUabQu_ym0Zz7PgGX0-kHA/edit?usp=sharing"",""แผน!IJ23"")"),12)</f>
        <v>12</v>
      </c>
      <c r="J721" s="648">
        <f ca="1">J723+J726</f>
        <v>0</v>
      </c>
      <c r="K721" s="195">
        <f t="shared" ca="1" si="291"/>
        <v>0</v>
      </c>
      <c r="L721" s="733"/>
      <c r="M721" s="189"/>
      <c r="N721" s="733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IFERROR(__xludf.DUMMYFUNCTION("IMPORTRANGE(""https://docs.google.com/spreadsheets/d/1QqKyyYR6Q21VydFLVH3TRQUabQu_ym0Zz7PgGX0-kHA/edit?usp=sharing"",""แผน!IK23"")"),52)</f>
        <v>52</v>
      </c>
      <c r="J722" s="648">
        <f ca="1">J725+J728</f>
        <v>0</v>
      </c>
      <c r="K722" s="195">
        <f t="shared" ca="1" si="291"/>
        <v>0</v>
      </c>
      <c r="L722" s="466"/>
      <c r="M722" s="189"/>
      <c r="N722" s="733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IFERROR(__xludf.DUMMYFUNCTION("IMPORTRANGE(""https://docs.google.com/spreadsheets/d/1QqKyyYR6Q21VydFLVH3TRQUabQu_ym0Zz7PgGX0-kHA/edit?usp=sharing"",""แผน!IL23"")"),0)</f>
        <v>0</v>
      </c>
      <c r="J723" s="270">
        <f ca="1">IFERROR(__xludf.DUMMYFUNCTION("IMPORTRANGE(""https://docs.google.com/spreadsheets/d/1XWAQStnk-4SwqDmLtmXYiTMKHgktTP8We1SCoS47DrQ/edit?usp=sharing"",""จัดที่ดิน!BM23"")"),0)</f>
        <v>0</v>
      </c>
      <c r="K723" s="466">
        <f t="shared" ca="1" si="291"/>
        <v>0</v>
      </c>
      <c r="L723" s="466"/>
      <c r="M723" s="189"/>
      <c r="N723" s="733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IFERROR(__xludf.DUMMYFUNCTION("IMPORTRANGE(""https://docs.google.com/spreadsheets/d/1XWAQStnk-4SwqDmLtmXYiTMKHgktTP8We1SCoS47DrQ/edit?usp=sharing"",""จัดที่ดิน!BN23"")"),0)</f>
        <v>0</v>
      </c>
      <c r="K724" s="466"/>
      <c r="L724" s="733"/>
      <c r="M724" s="189"/>
      <c r="N724" s="733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IFERROR(__xludf.DUMMYFUNCTION("IMPORTRANGE(""https://docs.google.com/spreadsheets/d/1QqKyyYR6Q21VydFLVH3TRQUabQu_ym0Zz7PgGX0-kHA/edit?usp=sharing"",""แผน!IM23"")"),0)</f>
        <v>0</v>
      </c>
      <c r="J725" s="270">
        <f ca="1">IFERROR(__xludf.DUMMYFUNCTION("IMPORTRANGE(""https://docs.google.com/spreadsheets/d/1XWAQStnk-4SwqDmLtmXYiTMKHgktTP8We1SCoS47DrQ/edit?usp=sharing"",""จัดที่ดิน!BO23"")"),0)</f>
        <v>0</v>
      </c>
      <c r="K725" s="466">
        <f t="shared" ref="K725:K726" ca="1" si="292">IF(I725&gt;0,J725*100/I725,0)</f>
        <v>0</v>
      </c>
      <c r="L725" s="733"/>
      <c r="M725" s="189"/>
      <c r="N725" s="733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IFERROR(__xludf.DUMMYFUNCTION("IMPORTRANGE(""https://docs.google.com/spreadsheets/d/1QqKyyYR6Q21VydFLVH3TRQUabQu_ym0Zz7PgGX0-kHA/edit?usp=sharing"",""แผน!IN23"")"),12)</f>
        <v>12</v>
      </c>
      <c r="J726" s="270">
        <f ca="1">IFERROR(__xludf.DUMMYFUNCTION("IMPORTRANGE(""https://docs.google.com/spreadsheets/d/1XWAQStnk-4SwqDmLtmXYiTMKHgktTP8We1SCoS47DrQ/edit?usp=sharing"",""จัดที่ดิน!BR23"")"),0)</f>
        <v>0</v>
      </c>
      <c r="K726" s="466">
        <f t="shared" ca="1" si="292"/>
        <v>0</v>
      </c>
      <c r="L726" s="466"/>
      <c r="M726" s="189"/>
      <c r="N726" s="733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IFERROR(__xludf.DUMMYFUNCTION("IMPORTRANGE(""https://docs.google.com/spreadsheets/d/1XWAQStnk-4SwqDmLtmXYiTMKHgktTP8We1SCoS47DrQ/edit?usp=sharing"",""จัดที่ดิน!BS23"")"),0)</f>
        <v>0</v>
      </c>
      <c r="K727" s="466"/>
      <c r="L727" s="733"/>
      <c r="M727" s="189"/>
      <c r="N727" s="733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IFERROR(__xludf.DUMMYFUNCTION("IMPORTRANGE(""https://docs.google.com/spreadsheets/d/1QqKyyYR6Q21VydFLVH3TRQUabQu_ym0Zz7PgGX0-kHA/edit?usp=sharing"",""แผน!IO23"")"),52)</f>
        <v>52</v>
      </c>
      <c r="J728" s="270">
        <f ca="1">IFERROR(__xludf.DUMMYFUNCTION("IMPORTRANGE(""https://docs.google.com/spreadsheets/d/1XWAQStnk-4SwqDmLtmXYiTMKHgktTP8We1SCoS47DrQ/edit?usp=sharing"",""จัดที่ดิน!BT23"")"),0)</f>
        <v>0</v>
      </c>
      <c r="K728" s="466">
        <f t="shared" ref="K728:K729" ca="1" si="293">IF(I728&gt;0,J728*100/I728,0)</f>
        <v>0</v>
      </c>
      <c r="L728" s="733"/>
      <c r="M728" s="189"/>
      <c r="N728" s="733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IFERROR(__xludf.DUMMYFUNCTION("IMPORTRANGE(""https://docs.google.com/spreadsheets/d/1QqKyyYR6Q21VydFLVH3TRQUabQu_ym0Zz7PgGX0-kHA/edit?usp=sharing"",""แผน!IP23"")"),0)</f>
        <v>0</v>
      </c>
      <c r="J729" s="648">
        <f>J732+J735</f>
        <v>0</v>
      </c>
      <c r="K729" s="195">
        <f t="shared" ca="1" si="293"/>
        <v>0</v>
      </c>
      <c r="L729" s="466"/>
      <c r="M729" s="189"/>
      <c r="N729" s="733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0</v>
      </c>
      <c r="K730" s="466"/>
      <c r="L730" s="733"/>
      <c r="M730" s="466"/>
      <c r="N730" s="733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0</v>
      </c>
      <c r="K731" s="466"/>
      <c r="L731" s="733"/>
      <c r="M731" s="466"/>
      <c r="N731" s="733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0</v>
      </c>
      <c r="K732" s="466"/>
      <c r="L732" s="733"/>
      <c r="M732" s="466"/>
      <c r="N732" s="733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0</v>
      </c>
      <c r="K733" s="466"/>
      <c r="L733" s="733"/>
      <c r="M733" s="466"/>
      <c r="N733" s="733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0</v>
      </c>
      <c r="K734" s="466"/>
      <c r="L734" s="733"/>
      <c r="M734" s="466"/>
      <c r="N734" s="733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0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4">L738+L739</f>
        <v>0</v>
      </c>
      <c r="M737" s="614">
        <f t="shared" si="294"/>
        <v>0</v>
      </c>
      <c r="N737" s="614">
        <f t="shared" si="294"/>
        <v>0</v>
      </c>
      <c r="O737" s="614">
        <f t="shared" ref="O737:O742" si="295">IF(L737&gt;0,N737*100/L737,0)</f>
        <v>0</v>
      </c>
      <c r="P737" s="614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6"/>
      <c r="D740" s="805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8">L741+L742</f>
        <v>0</v>
      </c>
      <c r="M740" s="614">
        <f t="shared" si="298"/>
        <v>0</v>
      </c>
      <c r="N740" s="614">
        <f t="shared" si="298"/>
        <v>0</v>
      </c>
      <c r="O740" s="614">
        <f t="shared" si="295"/>
        <v>0</v>
      </c>
      <c r="P740" s="614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6"/>
      <c r="D747" s="805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299">L748+L749</f>
        <v>0</v>
      </c>
      <c r="M747" s="614">
        <f t="shared" si="299"/>
        <v>0</v>
      </c>
      <c r="N747" s="614">
        <f t="shared" si="299"/>
        <v>0</v>
      </c>
      <c r="O747" s="614">
        <f t="shared" ref="O747:O749" si="300">IF(L747&gt;0,N747*100/L747,0)</f>
        <v>0</v>
      </c>
      <c r="P747" s="614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2">L755+L756</f>
        <v>0</v>
      </c>
      <c r="M754" s="614">
        <f t="shared" si="302"/>
        <v>0</v>
      </c>
      <c r="N754" s="614">
        <f t="shared" si="302"/>
        <v>0</v>
      </c>
      <c r="O754" s="614">
        <f t="shared" ref="O754:O759" si="303">IF(L754&gt;0,N754*100/L754,0)</f>
        <v>0</v>
      </c>
      <c r="P754" s="614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6"/>
      <c r="D757" s="805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6">L758+L759</f>
        <v>0</v>
      </c>
      <c r="M757" s="614">
        <f t="shared" si="306"/>
        <v>0</v>
      </c>
      <c r="N757" s="614">
        <f t="shared" si="306"/>
        <v>0</v>
      </c>
      <c r="O757" s="614">
        <f t="shared" si="303"/>
        <v>0</v>
      </c>
      <c r="P757" s="614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6"/>
      <c r="D764" s="805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7">L765+L766</f>
        <v>0</v>
      </c>
      <c r="M764" s="614">
        <f t="shared" si="307"/>
        <v>0</v>
      </c>
      <c r="N764" s="614">
        <f t="shared" si="307"/>
        <v>0</v>
      </c>
      <c r="O764" s="614">
        <f t="shared" ref="O764:O766" si="308">IF(L764&gt;0,N764*100/L764,0)</f>
        <v>0</v>
      </c>
      <c r="P764" s="614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0">L771+L772</f>
        <v>0</v>
      </c>
      <c r="M770" s="614">
        <f t="shared" si="310"/>
        <v>0</v>
      </c>
      <c r="N770" s="614">
        <f t="shared" si="310"/>
        <v>0</v>
      </c>
      <c r="O770" s="614">
        <f t="shared" ref="O770:O775" si="311">IF(L770&gt;0,N770*100/L770,0)</f>
        <v>0</v>
      </c>
      <c r="P770" s="614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6"/>
      <c r="D773" s="805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4">L774+L775</f>
        <v>0</v>
      </c>
      <c r="M773" s="614">
        <f t="shared" si="314"/>
        <v>0</v>
      </c>
      <c r="N773" s="614">
        <f t="shared" si="314"/>
        <v>0</v>
      </c>
      <c r="O773" s="614">
        <f t="shared" si="311"/>
        <v>0</v>
      </c>
      <c r="P773" s="614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6"/>
      <c r="D780" s="805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5">L781+L782</f>
        <v>0</v>
      </c>
      <c r="M780" s="614">
        <f t="shared" si="315"/>
        <v>0</v>
      </c>
      <c r="N780" s="614">
        <f t="shared" si="315"/>
        <v>0</v>
      </c>
      <c r="O780" s="614">
        <f t="shared" ref="O780:O782" si="316">IF(L780&gt;0,N780*100/L780,0)</f>
        <v>0</v>
      </c>
      <c r="P780" s="614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871" t="s">
        <v>46</v>
      </c>
      <c r="I785" s="872">
        <f t="shared" ref="I785:J785" ca="1" si="318">I801+I803</f>
        <v>38000</v>
      </c>
      <c r="J785" s="872">
        <f t="shared" ca="1" si="318"/>
        <v>7525</v>
      </c>
      <c r="K785" s="873">
        <f ca="1">IF(I785&gt;0,J785*100/I785,0)</f>
        <v>19.80263157894737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874" t="s">
        <v>12</v>
      </c>
      <c r="I786" s="875"/>
      <c r="J786" s="875"/>
      <c r="K786" s="876"/>
      <c r="L786" s="195">
        <f t="shared" ref="L786:N786" ca="1" si="319">L787+L788</f>
        <v>274560</v>
      </c>
      <c r="M786" s="195">
        <f t="shared" si="319"/>
        <v>0</v>
      </c>
      <c r="N786" s="195">
        <f t="shared" si="319"/>
        <v>31840</v>
      </c>
      <c r="O786" s="195">
        <f t="shared" ref="O786:O791" ca="1" si="320">IF(L786&gt;0,N786*100/L786,0)</f>
        <v>11.596736596736596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6"/>
      <c r="D787" s="687"/>
      <c r="E787" s="726" t="s">
        <v>184</v>
      </c>
      <c r="F787" s="726"/>
      <c r="G787" s="568"/>
      <c r="H787" s="877" t="s">
        <v>12</v>
      </c>
      <c r="I787" s="875"/>
      <c r="J787" s="875"/>
      <c r="K787" s="87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6" t="s">
        <v>185</v>
      </c>
      <c r="F788" s="726"/>
      <c r="G788" s="568"/>
      <c r="H788" s="877" t="s">
        <v>12</v>
      </c>
      <c r="I788" s="875"/>
      <c r="J788" s="875"/>
      <c r="K788" s="876"/>
      <c r="L788" s="93">
        <f t="shared" ca="1" si="322"/>
        <v>274560</v>
      </c>
      <c r="M788" s="93">
        <f t="shared" si="322"/>
        <v>0</v>
      </c>
      <c r="N788" s="93">
        <f t="shared" si="322"/>
        <v>31840</v>
      </c>
      <c r="O788" s="93">
        <f t="shared" ca="1" si="320"/>
        <v>11.596736596736596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730"/>
      <c r="F789" s="730"/>
      <c r="G789" s="189"/>
      <c r="H789" s="878" t="s">
        <v>12</v>
      </c>
      <c r="I789" s="879"/>
      <c r="J789" s="879"/>
      <c r="K789" s="880"/>
      <c r="L789" s="466">
        <f t="shared" ref="L789:N789" ca="1" si="323">L790+L791</f>
        <v>274560</v>
      </c>
      <c r="M789" s="466">
        <f t="shared" si="323"/>
        <v>0</v>
      </c>
      <c r="N789" s="466">
        <f t="shared" si="323"/>
        <v>31840</v>
      </c>
      <c r="O789" s="466">
        <f t="shared" ca="1" si="320"/>
        <v>11.596736596736596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6" t="s">
        <v>184</v>
      </c>
      <c r="F790" s="726"/>
      <c r="G790" s="568"/>
      <c r="H790" s="877" t="s">
        <v>12</v>
      </c>
      <c r="I790" s="875"/>
      <c r="J790" s="875"/>
      <c r="K790" s="87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6" t="s">
        <v>185</v>
      </c>
      <c r="F791" s="726"/>
      <c r="G791" s="568"/>
      <c r="H791" s="877" t="s">
        <v>12</v>
      </c>
      <c r="I791" s="875"/>
      <c r="J791" s="875"/>
      <c r="K791" s="876"/>
      <c r="L791" s="93">
        <f ca="1">IFERROR(__xludf.DUMMYFUNCTION("IMPORTRANGE(""https://docs.google.com/spreadsheets/d/1QqKyyYR6Q21VydFLVH3TRQUabQu_ym0Zz7PgGX0-kHA/edit?usp=sharing"",""แผน!JJ23"")"),274560)</f>
        <v>274560</v>
      </c>
      <c r="M791" s="93">
        <v>0</v>
      </c>
      <c r="N791" s="93">
        <f>N792+N793+N794+N795</f>
        <v>31840</v>
      </c>
      <c r="O791" s="93">
        <f t="shared" ca="1" si="320"/>
        <v>11.596736596736596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730"/>
      <c r="D792" s="730"/>
      <c r="E792" s="730"/>
      <c r="F792" s="730" t="s">
        <v>186</v>
      </c>
      <c r="G792" s="189"/>
      <c r="H792" s="878" t="s">
        <v>12</v>
      </c>
      <c r="I792" s="875"/>
      <c r="J792" s="875"/>
      <c r="K792" s="876"/>
      <c r="L792" s="466"/>
      <c r="M792" s="466"/>
      <c r="N792" s="801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730"/>
      <c r="D793" s="730"/>
      <c r="E793" s="730"/>
      <c r="F793" s="730" t="s">
        <v>187</v>
      </c>
      <c r="G793" s="189"/>
      <c r="H793" s="878" t="s">
        <v>12</v>
      </c>
      <c r="I793" s="875"/>
      <c r="J793" s="875"/>
      <c r="K793" s="876"/>
      <c r="L793" s="466"/>
      <c r="M793" s="466"/>
      <c r="N793" s="801">
        <v>31840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730"/>
      <c r="D794" s="730"/>
      <c r="E794" s="730"/>
      <c r="F794" s="730" t="s">
        <v>188</v>
      </c>
      <c r="G794" s="189"/>
      <c r="H794" s="878" t="s">
        <v>12</v>
      </c>
      <c r="I794" s="875"/>
      <c r="J794" s="875"/>
      <c r="K794" s="876"/>
      <c r="L794" s="466"/>
      <c r="M794" s="466"/>
      <c r="N794" s="801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730"/>
      <c r="D795" s="730"/>
      <c r="E795" s="730"/>
      <c r="F795" s="730" t="s">
        <v>189</v>
      </c>
      <c r="G795" s="189"/>
      <c r="H795" s="878" t="s">
        <v>12</v>
      </c>
      <c r="I795" s="875"/>
      <c r="J795" s="875"/>
      <c r="K795" s="876"/>
      <c r="L795" s="466"/>
      <c r="M795" s="466"/>
      <c r="N795" s="801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730"/>
      <c r="D796" s="571" t="s">
        <v>21</v>
      </c>
      <c r="E796" s="730"/>
      <c r="F796" s="730"/>
      <c r="G796" s="189"/>
      <c r="H796" s="881" t="s">
        <v>12</v>
      </c>
      <c r="I796" s="879"/>
      <c r="J796" s="879"/>
      <c r="K796" s="880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6"/>
      <c r="D797" s="726"/>
      <c r="E797" s="726" t="s">
        <v>18</v>
      </c>
      <c r="F797" s="726"/>
      <c r="G797" s="568"/>
      <c r="H797" s="877" t="s">
        <v>12</v>
      </c>
      <c r="I797" s="879"/>
      <c r="J797" s="879"/>
      <c r="K797" s="88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6"/>
      <c r="D798" s="726"/>
      <c r="E798" s="726" t="s">
        <v>19</v>
      </c>
      <c r="F798" s="726"/>
      <c r="G798" s="568"/>
      <c r="H798" s="882" t="s">
        <v>12</v>
      </c>
      <c r="I798" s="879"/>
      <c r="J798" s="879"/>
      <c r="K798" s="88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883"/>
      <c r="I799" s="879"/>
      <c r="J799" s="879"/>
      <c r="K799" s="880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85"/>
      <c r="C800" s="585"/>
      <c r="D800" s="585"/>
      <c r="E800" s="593"/>
      <c r="F800" s="593" t="s">
        <v>320</v>
      </c>
      <c r="G800" s="729"/>
      <c r="H800" s="884" t="s">
        <v>34</v>
      </c>
      <c r="I800" s="879"/>
      <c r="J800" s="885">
        <f ca="1">IFERROR(__xludf.DUMMYFUNCTION("IMPORTRANGE(""https://docs.google.com/spreadsheets/d/1MaWodYyGHDf7siQLGxnXhG4mBNTNIuy296niS2xXulU/edit?usp=sharing"",""RTK!H23"")"),1)</f>
        <v>1</v>
      </c>
      <c r="K800" s="876"/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85"/>
      <c r="C801" s="585"/>
      <c r="D801" s="585"/>
      <c r="E801" s="593"/>
      <c r="F801" s="593"/>
      <c r="G801" s="729"/>
      <c r="H801" s="878" t="s">
        <v>46</v>
      </c>
      <c r="I801" s="885">
        <f ca="1">IFERROR(__xludf.DUMMYFUNCTION("IMPORTRANGE(""https://docs.google.com/spreadsheets/d/1MaWodYyGHDf7siQLGxnXhG4mBNTNIuy296niS2xXulU/edit?usp=sharing"",""RTK!G23"")"),4000)</f>
        <v>4000</v>
      </c>
      <c r="J801" s="886">
        <f ca="1">IFERROR(__xludf.DUMMYFUNCTION("IMPORTRANGE(""https://docs.google.com/spreadsheets/d/1MaWodYyGHDf7siQLGxnXhG4mBNTNIuy296niS2xXulU/edit?usp=sharing"",""RTK!I23"")"),11)</f>
        <v>11</v>
      </c>
      <c r="K801" s="887">
        <f ca="1">IF(I801&gt;0,J801*100/I801,0)</f>
        <v>0.27500000000000002</v>
      </c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579"/>
      <c r="B802" s="581"/>
      <c r="C802" s="581"/>
      <c r="D802" s="581"/>
      <c r="E802" s="687"/>
      <c r="F802" s="783" t="s">
        <v>321</v>
      </c>
      <c r="G802" s="582"/>
      <c r="H802" s="884" t="s">
        <v>34</v>
      </c>
      <c r="I802" s="879"/>
      <c r="J802" s="885">
        <f ca="1">IFERROR(__xludf.DUMMYFUNCTION("IMPORTRANGE(""https://docs.google.com/spreadsheets/d/1MaWodYyGHDf7siQLGxnXhG4mBNTNIuy296niS2xXulU/edit?usp=sharing"",""RTK!L23"")"),402)</f>
        <v>402</v>
      </c>
      <c r="K802" s="876"/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>
      <c r="A803" s="579"/>
      <c r="B803" s="581"/>
      <c r="C803" s="581"/>
      <c r="D803" s="581"/>
      <c r="E803" s="687"/>
      <c r="F803" s="687"/>
      <c r="G803" s="582"/>
      <c r="H803" s="884" t="s">
        <v>46</v>
      </c>
      <c r="I803" s="885">
        <f ca="1">IFERROR(__xludf.DUMMYFUNCTION("IMPORTRANGE(""https://docs.google.com/spreadsheets/d/1MaWodYyGHDf7siQLGxnXhG4mBNTNIuy296niS2xXulU/edit?usp=sharing"",""RTK!K23"")"),34000)</f>
        <v>34000</v>
      </c>
      <c r="J803" s="886">
        <f ca="1">IFERROR(__xludf.DUMMYFUNCTION("IMPORTRANGE(""https://docs.google.com/spreadsheets/d/1MaWodYyGHDf7siQLGxnXhG4mBNTNIuy296niS2xXulU/edit?usp=sharing"",""RTK!M23"")"),7514)</f>
        <v>7514</v>
      </c>
      <c r="K803" s="887">
        <f t="shared" ref="K803:K804" ca="1" si="327">IF(I803&gt;0,J803*100/I803,0)</f>
        <v>22.1</v>
      </c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 t="shared" si="327"/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8">L806+L807</f>
        <v>0</v>
      </c>
      <c r="M805" s="614">
        <f t="shared" si="328"/>
        <v>0</v>
      </c>
      <c r="N805" s="614">
        <f t="shared" si="328"/>
        <v>0</v>
      </c>
      <c r="O805" s="614">
        <f t="shared" ref="O805:O810" si="329">IF(L805&gt;0,N805*100/L805,0)</f>
        <v>0</v>
      </c>
      <c r="P805" s="614">
        <f t="shared" ref="P805:P810" si="330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2">L809+L810</f>
        <v>0</v>
      </c>
      <c r="M808" s="614">
        <f t="shared" si="332"/>
        <v>0</v>
      </c>
      <c r="N808" s="614">
        <f t="shared" si="332"/>
        <v>0</v>
      </c>
      <c r="O808" s="614">
        <f t="shared" si="329"/>
        <v>0</v>
      </c>
      <c r="P808" s="614">
        <f t="shared" si="330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3">L816+L817</f>
        <v>0</v>
      </c>
      <c r="M815" s="614">
        <f t="shared" si="333"/>
        <v>0</v>
      </c>
      <c r="N815" s="614">
        <f t="shared" si="333"/>
        <v>0</v>
      </c>
      <c r="O815" s="614">
        <f t="shared" ref="O815:O817" si="334">IF(L815&gt;0,N815*100/L815,0)</f>
        <v>0</v>
      </c>
      <c r="P815" s="614">
        <f t="shared" ref="P815:P817" si="335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55" t="s">
        <v>332</v>
      </c>
      <c r="B820" s="856"/>
      <c r="C820" s="856"/>
      <c r="D820" s="857"/>
      <c r="E820" s="856"/>
      <c r="F820" s="856"/>
      <c r="G820" s="858"/>
      <c r="H820" s="8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60"/>
      <c r="J820" s="860"/>
      <c r="K820" s="861"/>
      <c r="L820" s="861"/>
      <c r="M820" s="861"/>
      <c r="N820" s="861"/>
      <c r="O820" s="861"/>
      <c r="P820" s="86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IFERROR(__xludf.DUMMYFUNCTION("IMPORTRANGE(""https://docs.google.com/spreadsheets/d/19vJNZY_5yjcGF2XGBMNZRCAIB0Kwfpjp8YEOfu-bneM/edit?usp=sharing"",""งานกองทุน!D23"")"),13493427.68)</f>
        <v>13493427.68</v>
      </c>
      <c r="J821" s="270">
        <f ca="1">IFERROR(__xludf.DUMMYFUNCTION("IMPORTRANGE(""https://docs.google.com/spreadsheets/d/19vJNZY_5yjcGF2XGBMNZRCAIB0Kwfpjp8YEOfu-bneM/edit?usp=sharing"",""งานกองทุน!F23"")"),2178969.13)</f>
        <v>2178969.13</v>
      </c>
      <c r="K821" s="466">
        <f t="shared" ref="K821:K828" ca="1" si="336">IF(I821&gt;0,J821*100/I821,0)</f>
        <v>16.148373724414551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IFERROR(__xludf.DUMMYFUNCTION("IMPORTRANGE(""https://docs.google.com/spreadsheets/d/19vJNZY_5yjcGF2XGBMNZRCAIB0Kwfpjp8YEOfu-bneM/edit?usp=sharing"",""งานกองทุน!C23"")"),488)</f>
        <v>488</v>
      </c>
      <c r="J822" s="270">
        <f ca="1">IFERROR(__xludf.DUMMYFUNCTION("IMPORTRANGE(""https://docs.google.com/spreadsheets/d/19vJNZY_5yjcGF2XGBMNZRCAIB0Kwfpjp8YEOfu-bneM/edit?usp=sharing"",""งานกองทุน!E23"")"),78)</f>
        <v>78</v>
      </c>
      <c r="K822" s="466">
        <f t="shared" ca="1" si="336"/>
        <v>15.983606557377049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IFERROR(__xludf.DUMMYFUNCTION("IMPORTRANGE(""https://docs.google.com/spreadsheets/d/19vJNZY_5yjcGF2XGBMNZRCAIB0Kwfpjp8YEOfu-bneM/edit?usp=sharing"",""งานกองทุน!I23"")"),30873324.14)</f>
        <v>30873324.140000001</v>
      </c>
      <c r="J823" s="270">
        <f ca="1">IFERROR(__xludf.DUMMYFUNCTION("IMPORTRANGE(""https://docs.google.com/spreadsheets/d/19vJNZY_5yjcGF2XGBMNZRCAIB0Kwfpjp8YEOfu-bneM/edit?usp=sharing"",""งานกองทุน!K23"")"),1282628.87)</f>
        <v>1282628.8700000001</v>
      </c>
      <c r="K823" s="466">
        <f t="shared" ca="1" si="336"/>
        <v>4.1544890475146614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IFERROR(__xludf.DUMMYFUNCTION("IMPORTRANGE(""https://docs.google.com/spreadsheets/d/19vJNZY_5yjcGF2XGBMNZRCAIB0Kwfpjp8YEOfu-bneM/edit?usp=sharing"",""งานกองทุน!H23"")"),1118)</f>
        <v>1118</v>
      </c>
      <c r="J824" s="270">
        <f ca="1">IFERROR(__xludf.DUMMYFUNCTION("IMPORTRANGE(""https://docs.google.com/spreadsheets/d/19vJNZY_5yjcGF2XGBMNZRCAIB0Kwfpjp8YEOfu-bneM/edit?usp=sharing"",""งานกองทุน!J23"")"),176)</f>
        <v>176</v>
      </c>
      <c r="K824" s="466">
        <f t="shared" ca="1" si="336"/>
        <v>15.742397137745975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IFERROR(__xludf.DUMMYFUNCTION("IMPORTRANGE(""https://docs.google.com/spreadsheets/d/19vJNZY_5yjcGF2XGBMNZRCAIB0Kwfpjp8YEOfu-bneM/edit?usp=sharing"",""งานกองทุน!N23"")"),2645733.66)</f>
        <v>2645733.66</v>
      </c>
      <c r="J825" s="270">
        <f ca="1">IFERROR(__xludf.DUMMYFUNCTION("IMPORTRANGE(""https://docs.google.com/spreadsheets/d/19vJNZY_5yjcGF2XGBMNZRCAIB0Kwfpjp8YEOfu-bneM/edit?usp=sharing"",""งานกองทุน!P23"")"),175961.34)</f>
        <v>175961.34</v>
      </c>
      <c r="K825" s="466">
        <f t="shared" ca="1" si="336"/>
        <v>6.6507578846768718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IFERROR(__xludf.DUMMYFUNCTION("IMPORTRANGE(""https://docs.google.com/spreadsheets/d/19vJNZY_5yjcGF2XGBMNZRCAIB0Kwfpjp8YEOfu-bneM/edit?usp=sharing"",""งานกองทุน!M23"")"),132)</f>
        <v>132</v>
      </c>
      <c r="J826" s="270">
        <f ca="1">IFERROR(__xludf.DUMMYFUNCTION("IMPORTRANGE(""https://docs.google.com/spreadsheets/d/19vJNZY_5yjcGF2XGBMNZRCAIB0Kwfpjp8YEOfu-bneM/edit?usp=sharing"",""งานกองทุน!O23"")"),43)</f>
        <v>43</v>
      </c>
      <c r="K826" s="466">
        <f t="shared" ca="1" si="336"/>
        <v>32.575757575757578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IFERROR(__xludf.DUMMYFUNCTION("IMPORTRANGE(""https://docs.google.com/spreadsheets/d/19vJNZY_5yjcGF2XGBMNZRCAIB0Kwfpjp8YEOfu-bneM/edit?usp=sharing"",""งานกองทุน!S23"")"),13050000)</f>
        <v>13050000</v>
      </c>
      <c r="J827" s="270">
        <f ca="1">IFERROR(__xludf.DUMMYFUNCTION("IMPORTRANGE(""https://docs.google.com/spreadsheets/d/19vJNZY_5yjcGF2XGBMNZRCAIB0Kwfpjp8YEOfu-bneM/edit?usp=sharing"",""งานกองทุน!U23"")"),3940000)</f>
        <v>3940000</v>
      </c>
      <c r="K827" s="466">
        <f t="shared" ca="1" si="336"/>
        <v>30.191570881226053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IFERROR(__xludf.DUMMYFUNCTION("IMPORTRANGE(""https://docs.google.com/spreadsheets/d/19vJNZY_5yjcGF2XGBMNZRCAIB0Kwfpjp8YEOfu-bneM/edit?usp=sharing"",""งานกองทุน!R23"")"),522)</f>
        <v>522</v>
      </c>
      <c r="J828" s="469">
        <f ca="1">IFERROR(__xludf.DUMMYFUNCTION("IMPORTRANGE(""https://docs.google.com/spreadsheets/d/19vJNZY_5yjcGF2XGBMNZRCAIB0Kwfpjp8YEOfu-bneM/edit?usp=sharing"",""งานกองทุน!T23"")"),134)</f>
        <v>134</v>
      </c>
      <c r="K828" s="470">
        <f t="shared" ca="1" si="336"/>
        <v>25.670498084291189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00505-9683-48F8-9E69-CBBBDC0C86C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4" customWidth="1"/>
    <col min="4" max="6" width="5.85546875" style="804" customWidth="1"/>
    <col min="7" max="7" width="56.42578125" style="804" customWidth="1"/>
    <col min="8" max="8" width="9.42578125" style="804" customWidth="1"/>
    <col min="9" max="10" width="16.85546875" style="804" bestFit="1" customWidth="1"/>
    <col min="11" max="11" width="12.5703125" style="804" customWidth="1"/>
    <col min="12" max="13" width="20.28515625" style="804" bestFit="1" customWidth="1"/>
    <col min="14" max="14" width="21.28515625" style="804" bestFit="1" customWidth="1"/>
    <col min="15" max="16" width="17.5703125" style="804" customWidth="1"/>
    <col min="17" max="16384" width="12.5703125" style="804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346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5509492</v>
      </c>
      <c r="M8" s="22">
        <f t="shared" ca="1" si="0"/>
        <v>2727145</v>
      </c>
      <c r="N8" s="22">
        <f t="shared" ca="1" si="0"/>
        <v>2023469.3499999999</v>
      </c>
      <c r="O8" s="22">
        <f t="shared" ref="O8:O16" ca="1" si="1">IF(L8&gt;0,N8*100/L8,0)</f>
        <v>36.726967749476721</v>
      </c>
      <c r="P8" s="22">
        <f t="shared" ref="P8:P16" ca="1" si="2">IF(M8&gt;0,N8*100/M8,0)</f>
        <v>74.197351075942052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5509492</v>
      </c>
      <c r="M10" s="30">
        <f t="shared" ca="1" si="3"/>
        <v>2727145</v>
      </c>
      <c r="N10" s="30">
        <f t="shared" ca="1" si="3"/>
        <v>2023469.3499999999</v>
      </c>
      <c r="O10" s="30">
        <f t="shared" ca="1" si="1"/>
        <v>36.726967749476721</v>
      </c>
      <c r="P10" s="30">
        <f t="shared" ca="1" si="2"/>
        <v>74.197351075942052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5072892</v>
      </c>
      <c r="M11" s="466">
        <f t="shared" ca="1" si="4"/>
        <v>2292345</v>
      </c>
      <c r="N11" s="466">
        <f t="shared" ca="1" si="4"/>
        <v>1588669.3499999999</v>
      </c>
      <c r="O11" s="466">
        <f t="shared" ca="1" si="1"/>
        <v>31.316837614520473</v>
      </c>
      <c r="P11" s="466">
        <f t="shared" ca="1" si="2"/>
        <v>69.303239695595565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5072892</v>
      </c>
      <c r="M13" s="93">
        <f t="shared" ca="1" si="5"/>
        <v>2292345</v>
      </c>
      <c r="N13" s="93">
        <f t="shared" ca="1" si="5"/>
        <v>1588669.3499999999</v>
      </c>
      <c r="O13" s="93">
        <f t="shared" ca="1" si="1"/>
        <v>31.316837614520473</v>
      </c>
      <c r="P13" s="93">
        <f t="shared" ca="1" si="2"/>
        <v>69.303239695595565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436600</v>
      </c>
      <c r="M14" s="466">
        <f t="shared" ca="1" si="6"/>
        <v>434800</v>
      </c>
      <c r="N14" s="466">
        <f t="shared" ca="1" si="6"/>
        <v>434800</v>
      </c>
      <c r="O14" s="466">
        <f t="shared" ca="1" si="1"/>
        <v>99.587723316536881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436600</v>
      </c>
      <c r="M16" s="52">
        <f t="shared" ca="1" si="7"/>
        <v>434800</v>
      </c>
      <c r="N16" s="52">
        <f t="shared" ca="1" si="7"/>
        <v>434800</v>
      </c>
      <c r="O16" s="52">
        <f t="shared" ca="1" si="1"/>
        <v>99.587723316536881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3242795</v>
      </c>
      <c r="M18" s="22">
        <f t="shared" ca="1" si="8"/>
        <v>2727145</v>
      </c>
      <c r="N18" s="22">
        <f t="shared" ca="1" si="8"/>
        <v>1603521.88</v>
      </c>
      <c r="O18" s="22">
        <f t="shared" ref="O18:O26" ca="1" si="9">IF(L18&gt;0,N18*100/L18,0)</f>
        <v>49.448758863881309</v>
      </c>
      <c r="P18" s="22">
        <f t="shared" ref="P18:P26" ca="1" si="10">IF(M18&gt;0,N18*100/M18,0)</f>
        <v>58.798555999039287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3242795</v>
      </c>
      <c r="M20" s="30">
        <f t="shared" ca="1" si="11"/>
        <v>2727145</v>
      </c>
      <c r="N20" s="30">
        <f t="shared" ca="1" si="11"/>
        <v>1603521.88</v>
      </c>
      <c r="O20" s="30">
        <f t="shared" ca="1" si="9"/>
        <v>49.448758863881309</v>
      </c>
      <c r="P20" s="30">
        <f t="shared" ca="1" si="10"/>
        <v>58.798555999039287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2806195</v>
      </c>
      <c r="M21" s="466">
        <f t="shared" ca="1" si="12"/>
        <v>2292345</v>
      </c>
      <c r="N21" s="466">
        <f t="shared" ca="1" si="12"/>
        <v>1168721.8799999999</v>
      </c>
      <c r="O21" s="466">
        <f t="shared" ca="1" si="9"/>
        <v>41.647921117384925</v>
      </c>
      <c r="P21" s="466">
        <f t="shared" ca="1" si="10"/>
        <v>50.983681775648947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2806195</v>
      </c>
      <c r="M23" s="93">
        <f t="shared" ca="1" si="13"/>
        <v>2292345</v>
      </c>
      <c r="N23" s="93">
        <f t="shared" ca="1" si="13"/>
        <v>1168721.8799999999</v>
      </c>
      <c r="O23" s="93">
        <f t="shared" ca="1" si="9"/>
        <v>41.647921117384925</v>
      </c>
      <c r="P23" s="93">
        <f t="shared" ca="1" si="10"/>
        <v>50.983681775648947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436600</v>
      </c>
      <c r="M24" s="466">
        <f t="shared" ca="1" si="14"/>
        <v>434800</v>
      </c>
      <c r="N24" s="466">
        <f t="shared" ca="1" si="14"/>
        <v>434800</v>
      </c>
      <c r="O24" s="466">
        <f t="shared" ca="1" si="9"/>
        <v>99.587723316536881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436600</v>
      </c>
      <c r="M26" s="52">
        <f t="shared" ca="1" si="15"/>
        <v>434800</v>
      </c>
      <c r="N26" s="52">
        <f t="shared" ca="1" si="15"/>
        <v>434800</v>
      </c>
      <c r="O26" s="52">
        <f t="shared" ca="1" si="9"/>
        <v>99.587723316536881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2266697</v>
      </c>
      <c r="M28" s="22">
        <f t="shared" si="16"/>
        <v>0</v>
      </c>
      <c r="N28" s="22">
        <f t="shared" si="16"/>
        <v>419947.47</v>
      </c>
      <c r="O28" s="22">
        <f t="shared" ref="O28:O37" ca="1" si="17">IF(L28&gt;0,N28*100/L28,0)</f>
        <v>18.526846331909383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2266697</v>
      </c>
      <c r="M30" s="30">
        <f t="shared" si="19"/>
        <v>0</v>
      </c>
      <c r="N30" s="30">
        <f t="shared" si="19"/>
        <v>419947.47</v>
      </c>
      <c r="O30" s="30">
        <f t="shared" ca="1" si="17"/>
        <v>18.526846331909383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2266697</v>
      </c>
      <c r="M31" s="466">
        <f t="shared" si="20"/>
        <v>0</v>
      </c>
      <c r="N31" s="466">
        <f t="shared" si="20"/>
        <v>419947.47</v>
      </c>
      <c r="O31" s="466">
        <f t="shared" ca="1" si="17"/>
        <v>18.526846331909383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2266697</v>
      </c>
      <c r="M33" s="93">
        <f t="shared" si="21"/>
        <v>0</v>
      </c>
      <c r="N33" s="93">
        <f t="shared" si="21"/>
        <v>419947.47</v>
      </c>
      <c r="O33" s="93">
        <f t="shared" ca="1" si="17"/>
        <v>18.526846331909383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3242795</v>
      </c>
      <c r="M37" s="812">
        <f t="shared" ca="1" si="24"/>
        <v>2727145</v>
      </c>
      <c r="N37" s="812">
        <f t="shared" ca="1" si="24"/>
        <v>1603521.8800000001</v>
      </c>
      <c r="O37" s="812">
        <f t="shared" ca="1" si="17"/>
        <v>49.448758863881309</v>
      </c>
      <c r="P37" s="812">
        <f t="shared" ca="1" si="18"/>
        <v>58.798555999039287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637200</v>
      </c>
      <c r="M41" s="85">
        <f t="shared" ca="1" si="25"/>
        <v>637200</v>
      </c>
      <c r="N41" s="85">
        <f t="shared" ca="1" si="25"/>
        <v>261000</v>
      </c>
      <c r="O41" s="85">
        <f t="shared" ref="O41:O49" ca="1" si="26">IF(L41&gt;0,N41*100/L41,0)</f>
        <v>40.960451977401128</v>
      </c>
      <c r="P41" s="85">
        <f t="shared" ref="P41:P49" ca="1" si="27">IF(M41&gt;0,N41*100/M41,0)</f>
        <v>40.960451977401128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637200</v>
      </c>
      <c r="M43" s="92">
        <f t="shared" ca="1" si="28"/>
        <v>637200</v>
      </c>
      <c r="N43" s="92">
        <f t="shared" ca="1" si="28"/>
        <v>261000</v>
      </c>
      <c r="O43" s="92">
        <f t="shared" ca="1" si="26"/>
        <v>40.960451977401128</v>
      </c>
      <c r="P43" s="92">
        <f t="shared" ca="1" si="27"/>
        <v>40.960451977401128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637200</v>
      </c>
      <c r="M44" s="466">
        <f t="shared" ca="1" si="29"/>
        <v>637200</v>
      </c>
      <c r="N44" s="466">
        <f t="shared" ca="1" si="29"/>
        <v>261000</v>
      </c>
      <c r="O44" s="466">
        <f t="shared" ca="1" si="26"/>
        <v>40.960451977401128</v>
      </c>
      <c r="P44" s="466">
        <f t="shared" ca="1" si="27"/>
        <v>40.960451977401128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IFERROR(__xludf.DUMMYFUNCTION("IMPORTRANGE(""https://docs.google.com/spreadsheets/d/1MeEWN-I1oV_STSDYn1IFDPWt_1FKiwhDph83XaGc0o0/edit?usp=sharing"",""งบพรบ!M24"")"),637200)</f>
        <v>637200</v>
      </c>
      <c r="M46" s="93">
        <f ca="1">IFERROR(__xludf.DUMMYFUNCTION("IMPORTRANGE(""https://docs.google.com/spreadsheets/d/1MeEWN-I1oV_STSDYn1IFDPWt_1FKiwhDph83XaGc0o0/edit?usp=sharing"",""งบพรบ!R24"")"),637200)</f>
        <v>637200</v>
      </c>
      <c r="N46" s="93">
        <f ca="1">IFERROR(__xludf.DUMMYFUNCTION("IMPORTRANGE(""https://docs.google.com/spreadsheets/d/1MeEWN-I1oV_STSDYn1IFDPWt_1FKiwhDph83XaGc0o0/edit?usp=sharing"",""งบพรบ!T24"")"),261000)</f>
        <v>261000</v>
      </c>
      <c r="O46" s="93">
        <f t="shared" ca="1" si="26"/>
        <v>40.960451977401128</v>
      </c>
      <c r="P46" s="93">
        <f t="shared" ca="1" si="27"/>
        <v>40.960451977401128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IFERROR(__xludf.DUMMYFUNCTION("IMPORTRANGE(""https://docs.google.com/spreadsheets/d/1MeEWN-I1oV_STSDYn1IFDPWt_1FKiwhDph83XaGc0o0/edit?usp=sharing"",""งบพรบ!P24"")"),0)</f>
        <v>0</v>
      </c>
      <c r="M49" s="52">
        <f ca="1">IFERROR(__xludf.DUMMYFUNCTION("IMPORTRANGE(""https://docs.google.com/spreadsheets/d/1MeEWN-I1oV_STSDYn1IFDPWt_1FKiwhDph83XaGc0o0/edit?usp=sharing"",""งบพรบ!S24"")"),0)</f>
        <v>0</v>
      </c>
      <c r="N49" s="52">
        <f ca="1">IFERROR(__xludf.DUMMYFUNCTION("IMPORTRANGE(""https://docs.google.com/spreadsheets/d/1MeEWN-I1oV_STSDYn1IFDPWt_1FKiwhDph83XaGc0o0/edit?usp=sharing"",""งบพรบ!U24"")"),0)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672700</v>
      </c>
      <c r="M53" s="116">
        <f t="shared" ca="1" si="31"/>
        <v>519225</v>
      </c>
      <c r="N53" s="116">
        <f t="shared" ca="1" si="31"/>
        <v>350727.6</v>
      </c>
      <c r="O53" s="116">
        <f t="shared" ref="O53:O61" ca="1" si="32">IF(L53&gt;0,N53*100/L53,0)</f>
        <v>52.137297458005051</v>
      </c>
      <c r="P53" s="116">
        <f t="shared" ref="P53:P61" ca="1" si="33">IF(M53&gt;0,N53*100/M53,0)</f>
        <v>67.548288314314604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672700</v>
      </c>
      <c r="M55" s="123">
        <f t="shared" ca="1" si="34"/>
        <v>519225</v>
      </c>
      <c r="N55" s="123">
        <f t="shared" ca="1" si="34"/>
        <v>350727.6</v>
      </c>
      <c r="O55" s="123">
        <f t="shared" ca="1" si="32"/>
        <v>52.137297458005051</v>
      </c>
      <c r="P55" s="123">
        <f t="shared" ca="1" si="33"/>
        <v>67.548288314314604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613900</v>
      </c>
      <c r="M56" s="466">
        <f t="shared" ca="1" si="35"/>
        <v>460425</v>
      </c>
      <c r="N56" s="466">
        <f t="shared" ca="1" si="35"/>
        <v>291927.59999999998</v>
      </c>
      <c r="O56" s="466">
        <f t="shared" ca="1" si="32"/>
        <v>47.552956507574514</v>
      </c>
      <c r="P56" s="466">
        <f t="shared" ca="1" si="33"/>
        <v>63.403942010099357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IFERROR(__xludf.DUMMYFUNCTION("IMPORTRANGE(""https://docs.google.com/spreadsheets/d/1MeEWN-I1oV_STSDYn1IFDPWt_1FKiwhDph83XaGc0o0/edit?usp=sharing"",""งบพรบ!W24"")"),613900)</f>
        <v>613900</v>
      </c>
      <c r="M58" s="93">
        <f ca="1">IFERROR(__xludf.DUMMYFUNCTION("IMPORTRANGE(""https://docs.google.com/spreadsheets/d/1MeEWN-I1oV_STSDYn1IFDPWt_1FKiwhDph83XaGc0o0/edit?usp=sharing"",""งบพรบ!AB24"")"),460425)</f>
        <v>460425</v>
      </c>
      <c r="N58" s="93">
        <f ca="1">IFERROR(__xludf.DUMMYFUNCTION("IMPORTRANGE(""https://docs.google.com/spreadsheets/d/1MeEWN-I1oV_STSDYn1IFDPWt_1FKiwhDph83XaGc0o0/edit?usp=sharing"",""งบพรบ!AD24"")"),291927.6)</f>
        <v>291927.59999999998</v>
      </c>
      <c r="O58" s="93">
        <f t="shared" ca="1" si="32"/>
        <v>47.552956507574514</v>
      </c>
      <c r="P58" s="93">
        <f t="shared" ca="1" si="33"/>
        <v>63.403942010099357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58800</v>
      </c>
      <c r="M59" s="466">
        <f t="shared" ca="1" si="36"/>
        <v>58800</v>
      </c>
      <c r="N59" s="466">
        <f t="shared" ca="1" si="36"/>
        <v>58800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IFERROR(__xludf.DUMMYFUNCTION("IMPORTRANGE(""https://docs.google.com/spreadsheets/d/1MeEWN-I1oV_STSDYn1IFDPWt_1FKiwhDph83XaGc0o0/edit?usp=sharing"",""งบพรบ!Z24"")"),58800)</f>
        <v>58800</v>
      </c>
      <c r="M61" s="52">
        <f ca="1">IFERROR(__xludf.DUMMYFUNCTION("IMPORTRANGE(""https://docs.google.com/spreadsheets/d/1MeEWN-I1oV_STSDYn1IFDPWt_1FKiwhDph83XaGc0o0/edit?usp=sharing"",""งบพรบ!AC24"")"),58800)</f>
        <v>58800</v>
      </c>
      <c r="N61" s="52">
        <f ca="1">IFERROR(__xludf.DUMMYFUNCTION("IMPORTRANGE(""https://docs.google.com/spreadsheets/d/1MeEWN-I1oV_STSDYn1IFDPWt_1FKiwhDph83XaGc0o0/edit?usp=sharing"",""งบพรบ!AE24"")"),58800)</f>
        <v>58800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IFERROR(__xludf.DUMMYFUNCTION("IMPORTRANGE(""https://docs.google.com/spreadsheets/d/1MeEWN-I1oV_STSDYn1IFDPWt_1FKiwhDph83XaGc0o0/edit?usp=sharing"",""งบพรบ!AG24"")"),0)</f>
        <v>0</v>
      </c>
      <c r="M71" s="93">
        <f ca="1">IFERROR(__xludf.DUMMYFUNCTION("IMPORTRANGE(""https://docs.google.com/spreadsheets/d/1MeEWN-I1oV_STSDYn1IFDPWt_1FKiwhDph83XaGc0o0/edit?usp=sharing"",""งบพรบ!AL24"")"),0)</f>
        <v>0</v>
      </c>
      <c r="N71" s="93">
        <f ca="1">IFERROR(__xludf.DUMMYFUNCTION("IMPORTRANGE(""https://docs.google.com/spreadsheets/d/1MeEWN-I1oV_STSDYn1IFDPWt_1FKiwhDph83XaGc0o0/edit?usp=sharing"",""งบพรบ!AN24"")"),0)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IFERROR(__xludf.DUMMYFUNCTION("IMPORTRANGE(""https://docs.google.com/spreadsheets/d/1MeEWN-I1oV_STSDYn1IFDPWt_1FKiwhDph83XaGc0o0/edit?usp=sharing"",""งบพรบ!AJ24"")"),0)</f>
        <v>0</v>
      </c>
      <c r="M74" s="93">
        <f ca="1">IFERROR(__xludf.DUMMYFUNCTION("IMPORTRANGE(""https://docs.google.com/spreadsheets/d/1MeEWN-I1oV_STSDYn1IFDPWt_1FKiwhDph83XaGc0o0/edit?usp=sharing"",""งบพรบ!AM24"")"),0)</f>
        <v>0</v>
      </c>
      <c r="N74" s="93">
        <f ca="1">IFERROR(__xludf.DUMMYFUNCTION("IMPORTRANGE(""https://docs.google.com/spreadsheets/d/1MeEWN-I1oV_STSDYn1IFDPWt_1FKiwhDph83XaGc0o0/edit?usp=sharing"",""งบพรบ!AO24"")"),0)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IFERROR(__xludf.DUMMYFUNCTION("IMPORTRANGE(""https://docs.google.com/spreadsheets/d/1QqKyyYR6Q21VydFLVH3TRQUabQu_ym0Zz7PgGX0-kHA/edit?usp=sharing"",""แผน!H24"")"),0)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IFERROR(__xludf.DUMMYFUNCTION("IMPORTRANGE(""https://docs.google.com/spreadsheets/d/1QqKyyYR6Q21VydFLVH3TRQUabQu_ym0Zz7PgGX0-kHA/edit?usp=sharing"",""แผน!I24"")"),0)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IFERROR(__xludf.DUMMYFUNCTION("IMPORTRANGE(""https://docs.google.com/spreadsheets/d/1QqKyyYR6Q21VydFLVH3TRQUabQu_ym0Zz7PgGX0-kHA/edit?usp=sharing"",""แผน!F24"")"),0)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IFERROR(__xludf.DUMMYFUNCTION("IMPORTRANGE(""https://docs.google.com/spreadsheets/d/1QqKyyYR6Q21VydFLVH3TRQUabQu_ym0Zz7PgGX0-kHA/edit?usp=sharing"",""แผน!G24"")"),0)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IFERROR(__xludf.DUMMYFUNCTION("IMPORTRANGE(""https://docs.google.com/spreadsheets/d/1QqKyyYR6Q21VydFLVH3TRQUabQu_ym0Zz7PgGX0-kHA/edit?usp=sharing"",""แผน!D24"")"),0)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IFERROR(__xludf.DUMMYFUNCTION("IMPORTRANGE(""https://docs.google.com/spreadsheets/d/1QqKyyYR6Q21VydFLVH3TRQUabQu_ym0Zz7PgGX0-kHA/edit?usp=sharing"",""แผน!E24"")"),0)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IFERROR(__xludf.DUMMYFUNCTION("IMPORTRANGE(""https://docs.google.com/spreadsheets/d/1QqKyyYR6Q21VydFLVH3TRQUabQu_ym0Zz7PgGX0-kHA/edit?usp=sharing"",""แผน!J24"")"),0)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18340</v>
      </c>
      <c r="O88" s="155">
        <f t="shared" ref="O88:O96" ca="1" si="50">IF(L88&gt;0,N88*100/L88,0)</f>
        <v>21.315667131566713</v>
      </c>
      <c r="P88" s="155">
        <f t="shared" ref="P88:P96" ca="1" si="51">IF(M88&gt;0,N88*100/M88,0)</f>
        <v>23.115704562641795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18340</v>
      </c>
      <c r="O90" s="93">
        <f t="shared" ca="1" si="50"/>
        <v>21.315667131566713</v>
      </c>
      <c r="P90" s="93">
        <f t="shared" ca="1" si="51"/>
        <v>23.115704562641795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79340</v>
      </c>
      <c r="N91" s="466">
        <f t="shared" ca="1" si="53"/>
        <v>18340</v>
      </c>
      <c r="O91" s="466">
        <f t="shared" ca="1" si="50"/>
        <v>21.315667131566713</v>
      </c>
      <c r="P91" s="466">
        <f t="shared" ca="1" si="51"/>
        <v>23.115704562641795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IFERROR(__xludf.DUMMYFUNCTION("IMPORTRANGE(""https://docs.google.com/spreadsheets/d/1MeEWN-I1oV_STSDYn1IFDPWt_1FKiwhDph83XaGc0o0/edit?usp=sharing"",""งบพรบ!AQ24"")"),86040)</f>
        <v>86040</v>
      </c>
      <c r="M93" s="93">
        <f ca="1">IFERROR(__xludf.DUMMYFUNCTION("IMPORTRANGE(""https://docs.google.com/spreadsheets/d/1MeEWN-I1oV_STSDYn1IFDPWt_1FKiwhDph83XaGc0o0/edit?usp=sharing"",""งบพรบ!AV24"")"),79340)</f>
        <v>79340</v>
      </c>
      <c r="N93" s="93">
        <f ca="1">IFERROR(__xludf.DUMMYFUNCTION("IMPORTRANGE(""https://docs.google.com/spreadsheets/d/1MeEWN-I1oV_STSDYn1IFDPWt_1FKiwhDph83XaGc0o0/edit?usp=sharing"",""งบพรบ!AX24"")"),18340)</f>
        <v>18340</v>
      </c>
      <c r="O93" s="93">
        <f t="shared" ca="1" si="50"/>
        <v>21.315667131566713</v>
      </c>
      <c r="P93" s="93">
        <f t="shared" ca="1" si="51"/>
        <v>23.115704562641795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IFERROR(__xludf.DUMMYFUNCTION("IMPORTRANGE(""https://docs.google.com/spreadsheets/d/1MeEWN-I1oV_STSDYn1IFDPWt_1FKiwhDph83XaGc0o0/edit?usp=sharing"",""งบพรบ!AT24"")"),0)</f>
        <v>0</v>
      </c>
      <c r="M96" s="93">
        <f ca="1">IFERROR(__xludf.DUMMYFUNCTION("IMPORTRANGE(""https://docs.google.com/spreadsheets/d/1MeEWN-I1oV_STSDYn1IFDPWt_1FKiwhDph83XaGc0o0/edit?usp=sharing"",""งบพรบ!AW24"")"),0)</f>
        <v>0</v>
      </c>
      <c r="N96" s="93">
        <f ca="1">IFERROR(__xludf.DUMMYFUNCTION("IMPORTRANGE(""https://docs.google.com/spreadsheets/d/1MeEWN-I1oV_STSDYn1IFDPWt_1FKiwhDph83XaGc0o0/edit?usp=sharing"",""งบพรบ!AY24"")"),0)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IFERROR(__xludf.DUMMYFUNCTION("IMPORTRANGE(""https://docs.google.com/spreadsheets/d/1QqKyyYR6Q21VydFLVH3TRQUabQu_ym0Zz7PgGX0-kHA/edit?usp=sharing"",""แผน!K24"")"),30)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IFERROR(__xludf.DUMMYFUNCTION("IMPORTRANGE(""https://docs.google.com/spreadsheets/d/1QqKyyYR6Q21VydFLVH3TRQUabQu_ym0Zz7PgGX0-kHA/edit?usp=sharing"",""แผน!L24"")"),10)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IFERROR(__xludf.DUMMYFUNCTION("IMPORTRANGE(""https://docs.google.com/spreadsheets/d/1QqKyyYR6Q21VydFLVH3TRQUabQu_ym0Zz7PgGX0-kHA/edit?usp=sharing"",""แผน!M24"")"),2)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IFERROR(__xludf.DUMMYFUNCTION("IMPORTRANGE(""https://docs.google.com/spreadsheets/d/1QqKyyYR6Q21VydFLVH3TRQUabQu_ym0Zz7PgGX0-kHA/edit?usp=sharing"",""แผน!N24"")"),30)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IFERROR(__xludf.DUMMYFUNCTION("IMPORTRANGE(""https://docs.google.com/spreadsheets/d/1QqKyyYR6Q21VydFLVH3TRQUabQu_ym0Zz7PgGX0-kHA/edit?usp=sharing"",""แผน!O24"")"),10)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IFERROR(__xludf.DUMMYFUNCTION("IMPORTRANGE(""https://docs.google.com/spreadsheets/d/1QqKyyYR6Q21VydFLVH3TRQUabQu_ym0Zz7PgGX0-kHA/edit?usp=sharing"",""แผน!O24"")"),10)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IFERROR(__xludf.DUMMYFUNCTION("IMPORTRANGE(""https://docs.google.com/spreadsheets/d/1QqKyyYR6Q21VydFLVH3TRQUabQu_ym0Zz7PgGX0-kHA/edit?usp=sharing"",""แผน!P24"")"),1)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IFERROR(__xludf.DUMMYFUNCTION("IMPORTRANGE(""https://docs.google.com/spreadsheets/d/1QqKyyYR6Q21VydFLVH3TRQUabQu_ym0Zz7PgGX0-kHA/edit?usp=sharing"",""แผน!P24"")"),1)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IFERROR(__xludf.DUMMYFUNCTION("IMPORTRANGE(""https://docs.google.com/spreadsheets/d/1QqKyyYR6Q21VydFLVH3TRQUabQu_ym0Zz7PgGX0-kHA/edit?usp=sharing"",""แผน!Q24"")"),1)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IFERROR(__xludf.DUMMYFUNCTION("IMPORTRANGE(""https://docs.google.com/spreadsheets/d/1QqKyyYR6Q21VydFLVH3TRQUabQu_ym0Zz7PgGX0-kHA/edit?usp=sharing"",""แผน!Q24"")"),1)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IFERROR(__xludf.DUMMYFUNCTION("IMPORTRANGE(""https://docs.google.com/spreadsheets/d/1QqKyyYR6Q21VydFLVH3TRQUabQu_ym0Zz7PgGX0-kHA/edit?usp=sharing"",""แผน!R24"")"),10)</f>
        <v>10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IFERROR(__xludf.DUMMYFUNCTION("IMPORTRANGE(""https://docs.google.com/spreadsheets/d/1QqKyyYR6Q21VydFLVH3TRQUabQu_ym0Zz7PgGX0-kHA/edit?usp=sharing"",""แผน!R24"")"),10)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IFERROR(__xludf.DUMMYFUNCTION("IMPORTRANGE(""https://docs.google.com/spreadsheets/d/1QqKyyYR6Q21VydFLVH3TRQUabQu_ym0Zz7PgGX0-kHA/edit?usp=sharing"",""แผน!R24"")"),10)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IFERROR(__xludf.DUMMYFUNCTION("IMPORTRANGE(""https://docs.google.com/spreadsheets/d/1QqKyyYR6Q21VydFLVH3TRQUabQu_ym0Zz7PgGX0-kHA/edit?usp=sharing"",""แผน!S24"")"),1)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IFERROR(__xludf.DUMMYFUNCTION("IMPORTRANGE(""https://docs.google.com/spreadsheets/d/1QqKyyYR6Q21VydFLVH3TRQUabQu_ym0Zz7PgGX0-kHA/edit?usp=sharing"",""แผน!T24"")"),1)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IFERROR(__xludf.DUMMYFUNCTION("IMPORTRANGE(""https://docs.google.com/spreadsheets/d/1MeEWN-I1oV_STSDYn1IFDPWt_1FKiwhDph83XaGc0o0/edit?usp=sharing"",""งบพรบ!BA24"")"),0)</f>
        <v>0</v>
      </c>
      <c r="M124" s="93">
        <f ca="1">IFERROR(__xludf.DUMMYFUNCTION("IMPORTRANGE(""https://docs.google.com/spreadsheets/d/1MeEWN-I1oV_STSDYn1IFDPWt_1FKiwhDph83XaGc0o0/edit?usp=sharing"",""งบพรบ!BF24"")"),0)</f>
        <v>0</v>
      </c>
      <c r="N124" s="93">
        <f ca="1">IFERROR(__xludf.DUMMYFUNCTION("IMPORTRANGE(""https://docs.google.com/spreadsheets/d/1MeEWN-I1oV_STSDYn1IFDPWt_1FKiwhDph83XaGc0o0/edit?usp=sharing"",""งบพรบ!BH24"")"),0)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IFERROR(__xludf.DUMMYFUNCTION("IMPORTRANGE(""https://docs.google.com/spreadsheets/d/1MeEWN-I1oV_STSDYn1IFDPWt_1FKiwhDph83XaGc0o0/edit?usp=sharing"",""งบพรบ!BD24"")"),0)</f>
        <v>0</v>
      </c>
      <c r="M127" s="93">
        <f ca="1">IFERROR(__xludf.DUMMYFUNCTION("IMPORTRANGE(""https://docs.google.com/spreadsheets/d/1MeEWN-I1oV_STSDYn1IFDPWt_1FKiwhDph83XaGc0o0/edit?usp=sharing"",""งบพรบ!BG24"")"),0)</f>
        <v>0</v>
      </c>
      <c r="N127" s="93">
        <f ca="1">IFERROR(__xludf.DUMMYFUNCTION("IMPORTRANGE(""https://docs.google.com/spreadsheets/d/1MeEWN-I1oV_STSDYn1IFDPWt_1FKiwhDph83XaGc0o0/edit?usp=sharing"",""งบพรบ!BI24"")"),0)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542565</v>
      </c>
      <c r="M132" s="155">
        <f t="shared" ca="1" si="69"/>
        <v>504800</v>
      </c>
      <c r="N132" s="155">
        <f t="shared" ca="1" si="69"/>
        <v>410370</v>
      </c>
      <c r="O132" s="155">
        <f t="shared" ref="O132:O140" ca="1" si="70">IF(L132&gt;0,N132*100/L132,0)</f>
        <v>75.635177352022339</v>
      </c>
      <c r="P132" s="155">
        <f t="shared" ref="P132:P140" ca="1" si="71">IF(M132&gt;0,N132*100/M132,0)</f>
        <v>81.293581616481774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542565</v>
      </c>
      <c r="M134" s="93">
        <f t="shared" ca="1" si="72"/>
        <v>504800</v>
      </c>
      <c r="N134" s="93">
        <f t="shared" ca="1" si="72"/>
        <v>410370</v>
      </c>
      <c r="O134" s="93">
        <f t="shared" ca="1" si="70"/>
        <v>75.635177352022339</v>
      </c>
      <c r="P134" s="93">
        <f t="shared" ca="1" si="71"/>
        <v>81.293581616481774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233565</v>
      </c>
      <c r="M135" s="466">
        <f t="shared" ca="1" si="73"/>
        <v>197300</v>
      </c>
      <c r="N135" s="466">
        <f t="shared" ca="1" si="73"/>
        <v>102870</v>
      </c>
      <c r="O135" s="466">
        <f t="shared" ca="1" si="70"/>
        <v>44.043414038918499</v>
      </c>
      <c r="P135" s="466">
        <f t="shared" ca="1" si="71"/>
        <v>52.138874809934109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IFERROR(__xludf.DUMMYFUNCTION("IMPORTRANGE(""https://docs.google.com/spreadsheets/d/1MeEWN-I1oV_STSDYn1IFDPWt_1FKiwhDph83XaGc0o0/edit?usp=sharing"",""งบพรบ!BK24"")"),233565)</f>
        <v>233565</v>
      </c>
      <c r="M137" s="93">
        <f ca="1">IFERROR(__xludf.DUMMYFUNCTION("IMPORTRANGE(""https://docs.google.com/spreadsheets/d/1MeEWN-I1oV_STSDYn1IFDPWt_1FKiwhDph83XaGc0o0/edit?usp=sharing"",""งบพรบ!BP24"")"),197300)</f>
        <v>197300</v>
      </c>
      <c r="N137" s="93">
        <f ca="1">IFERROR(__xludf.DUMMYFUNCTION("IMPORTRANGE(""https://docs.google.com/spreadsheets/d/1MeEWN-I1oV_STSDYn1IFDPWt_1FKiwhDph83XaGc0o0/edit?usp=sharing"",""งบพรบ!BR24"")"),102870)</f>
        <v>102870</v>
      </c>
      <c r="O137" s="93">
        <f t="shared" ca="1" si="70"/>
        <v>44.043414038918499</v>
      </c>
      <c r="P137" s="93">
        <f t="shared" ca="1" si="71"/>
        <v>52.138874809934109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309000</v>
      </c>
      <c r="M138" s="466">
        <f t="shared" ca="1" si="74"/>
        <v>307500</v>
      </c>
      <c r="N138" s="466">
        <f t="shared" ca="1" si="74"/>
        <v>307500</v>
      </c>
      <c r="O138" s="466">
        <f t="shared" ca="1" si="70"/>
        <v>99.514563106796118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IFERROR(__xludf.DUMMYFUNCTION("IMPORTRANGE(""https://docs.google.com/spreadsheets/d/1MeEWN-I1oV_STSDYn1IFDPWt_1FKiwhDph83XaGc0o0/edit?usp=sharing"",""งบพรบ!BN24"")"),309000)</f>
        <v>309000</v>
      </c>
      <c r="M140" s="93">
        <f ca="1">IFERROR(__xludf.DUMMYFUNCTION("IMPORTRANGE(""https://docs.google.com/spreadsheets/d/1MeEWN-I1oV_STSDYn1IFDPWt_1FKiwhDph83XaGc0o0/edit?usp=sharing"",""งบพรบ!BQ24"")"),307500)</f>
        <v>307500</v>
      </c>
      <c r="N140" s="93">
        <f ca="1">IFERROR(__xludf.DUMMYFUNCTION("IMPORTRANGE(""https://docs.google.com/spreadsheets/d/1MeEWN-I1oV_STSDYn1IFDPWt_1FKiwhDph83XaGc0o0/edit?usp=sharing"",""งบพรบ!BS24"")"),307500)</f>
        <v>307500</v>
      </c>
      <c r="O140" s="93">
        <f t="shared" ca="1" si="70"/>
        <v>99.514563106796118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IFERROR(__xludf.DUMMYFUNCTION("IMPORTRANGE(""https://docs.google.com/spreadsheets/d/1QqKyyYR6Q21VydFLVH3TRQUabQu_ym0Zz7PgGX0-kHA/edit?usp=sharing"",""แผน!U24"")"),15)</f>
        <v>15</v>
      </c>
      <c r="J144" s="215">
        <v>30</v>
      </c>
      <c r="K144" s="466">
        <f t="shared" ca="1" si="75"/>
        <v>200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IFERROR(__xludf.DUMMYFUNCTION("IMPORTRANGE(""https://docs.google.com/spreadsheets/d/1QqKyyYR6Q21VydFLVH3TRQUabQu_ym0Zz7PgGX0-kHA/edit?usp=sharing"",""แผน!V24"")"),30)</f>
        <v>30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IFERROR(__xludf.DUMMYFUNCTION("IMPORTRANGE(""https://docs.google.com/spreadsheets/d/1QqKyyYR6Q21VydFLVH3TRQUabQu_ym0Zz7PgGX0-kHA/edit?usp=sharing"",""แผน!W24"")"),3)</f>
        <v>3</v>
      </c>
      <c r="J146" s="215">
        <v>3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720</v>
      </c>
      <c r="N149" s="155">
        <f t="shared" ca="1" si="77"/>
        <v>720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0</v>
      </c>
      <c r="M151" s="93">
        <f t="shared" ca="1" si="80"/>
        <v>720</v>
      </c>
      <c r="N151" s="93">
        <f t="shared" ca="1" si="80"/>
        <v>720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720</v>
      </c>
      <c r="N152" s="466">
        <f t="shared" ca="1" si="81"/>
        <v>720</v>
      </c>
      <c r="O152" s="466">
        <f t="shared" ca="1" si="78"/>
        <v>0</v>
      </c>
      <c r="P152" s="466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IFERROR(__xludf.DUMMYFUNCTION("IMPORTRANGE(""https://docs.google.com/spreadsheets/d/1MeEWN-I1oV_STSDYn1IFDPWt_1FKiwhDph83XaGc0o0/edit?usp=sharing"",""งบพรบ!BU24"")"),0)</f>
        <v>0</v>
      </c>
      <c r="M154" s="93">
        <f ca="1">IFERROR(__xludf.DUMMYFUNCTION("IMPORTRANGE(""https://docs.google.com/spreadsheets/d/1MeEWN-I1oV_STSDYn1IFDPWt_1FKiwhDph83XaGc0o0/edit?usp=sharing"",""งบพรบ!BZ24"")"),720)</f>
        <v>720</v>
      </c>
      <c r="N154" s="93">
        <f ca="1">IFERROR(__xludf.DUMMYFUNCTION("IMPORTRANGE(""https://docs.google.com/spreadsheets/d/1MeEWN-I1oV_STSDYn1IFDPWt_1FKiwhDph83XaGc0o0/edit?usp=sharing"",""งบพรบ!CB24"")"),720)</f>
        <v>720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IFERROR(__xludf.DUMMYFUNCTION("IMPORTRANGE(""https://docs.google.com/spreadsheets/d/1MeEWN-I1oV_STSDYn1IFDPWt_1FKiwhDph83XaGc0o0/edit?usp=sharing"",""งบพรบ!BX24"")"),0)</f>
        <v>0</v>
      </c>
      <c r="M157" s="93">
        <f ca="1">IFERROR(__xludf.DUMMYFUNCTION("IMPORTRANGE(""https://docs.google.com/spreadsheets/d/1MeEWN-I1oV_STSDYn1IFDPWt_1FKiwhDph83XaGc0o0/edit?usp=sharing"",""งบพรบ!CA24"")"),0)</f>
        <v>0</v>
      </c>
      <c r="N157" s="93">
        <f ca="1">IFERROR(__xludf.DUMMYFUNCTION("IMPORTRANGE(""https://docs.google.com/spreadsheets/d/1MeEWN-I1oV_STSDYn1IFDPWt_1FKiwhDph83XaGc0o0/edit?usp=sharing"",""งบพรบ!CC24"")"),0)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IFERROR(__xludf.DUMMYFUNCTION("IMPORTRANGE(""https://docs.google.com/spreadsheets/d/1QqKyyYR6Q21VydFLVH3TRQUabQu_ym0Zz7PgGX0-kHA/edit?usp=sharing"",""แผน!X24"")"),0)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40500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51.97530864197531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21050</v>
      </c>
      <c r="M167" s="93">
        <f t="shared" ca="1" si="87"/>
        <v>40500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51.97530864197531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40500</v>
      </c>
      <c r="N168" s="466">
        <f t="shared" ca="1" si="88"/>
        <v>21050</v>
      </c>
      <c r="O168" s="466">
        <f t="shared" ca="1" si="85"/>
        <v>100</v>
      </c>
      <c r="P168" s="466">
        <f t="shared" ca="1" si="86"/>
        <v>51.97530864197531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IFERROR(__xludf.DUMMYFUNCTION("IMPORTRANGE(""https://docs.google.com/spreadsheets/d/1MeEWN-I1oV_STSDYn1IFDPWt_1FKiwhDph83XaGc0o0/edit?usp=sharing"",""งบพรบ!CE24"")"),21050)</f>
        <v>21050</v>
      </c>
      <c r="M170" s="93">
        <f ca="1">IFERROR(__xludf.DUMMYFUNCTION("IMPORTRANGE(""https://docs.google.com/spreadsheets/d/1MeEWN-I1oV_STSDYn1IFDPWt_1FKiwhDph83XaGc0o0/edit?usp=sharing"",""งบพรบ!CJ24"")"),40500)</f>
        <v>40500</v>
      </c>
      <c r="N170" s="93">
        <f ca="1">IFERROR(__xludf.DUMMYFUNCTION("IMPORTRANGE(""https://docs.google.com/spreadsheets/d/1MeEWN-I1oV_STSDYn1IFDPWt_1FKiwhDph83XaGc0o0/edit?usp=sharing"",""งบพรบ!CL24"")"),21050)</f>
        <v>21050</v>
      </c>
      <c r="O170" s="93">
        <f t="shared" ca="1" si="85"/>
        <v>100</v>
      </c>
      <c r="P170" s="93">
        <f t="shared" ca="1" si="86"/>
        <v>51.97530864197531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IFERROR(__xludf.DUMMYFUNCTION("IMPORTRANGE(""https://docs.google.com/spreadsheets/d/1MeEWN-I1oV_STSDYn1IFDPWt_1FKiwhDph83XaGc0o0/edit?usp=sharing"",""งบพรบ!CH24"")"),0)</f>
        <v>0</v>
      </c>
      <c r="M173" s="93">
        <f ca="1">IFERROR(__xludf.DUMMYFUNCTION("IMPORTRANGE(""https://docs.google.com/spreadsheets/d/1MeEWN-I1oV_STSDYn1IFDPWt_1FKiwhDph83XaGc0o0/edit?usp=sharing"",""งบพรบ!CK24"")"),0)</f>
        <v>0</v>
      </c>
      <c r="N173" s="93">
        <f ca="1">IFERROR(__xludf.DUMMYFUNCTION("IMPORTRANGE(""https://docs.google.com/spreadsheets/d/1MeEWN-I1oV_STSDYn1IFDPWt_1FKiwhDph83XaGc0o0/edit?usp=sharing"",""งบพรบ!CM24"")"),0)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47000</v>
      </c>
      <c r="M181" s="155">
        <f t="shared" ca="1" si="92"/>
        <v>35500</v>
      </c>
      <c r="N181" s="155">
        <f t="shared" ca="1" si="92"/>
        <v>19976.439999999999</v>
      </c>
      <c r="O181" s="155">
        <f t="shared" ref="O181:O189" ca="1" si="93">IF(L181&gt;0,N181*100/L181,0)</f>
        <v>42.50306382978723</v>
      </c>
      <c r="P181" s="155">
        <f t="shared" ref="P181:P189" ca="1" si="94">IF(M181&gt;0,N181*100/M181,0)</f>
        <v>56.27166197183098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47000</v>
      </c>
      <c r="M183" s="93">
        <f t="shared" ca="1" si="95"/>
        <v>35500</v>
      </c>
      <c r="N183" s="93">
        <f t="shared" ca="1" si="95"/>
        <v>19976.439999999999</v>
      </c>
      <c r="O183" s="93">
        <f t="shared" ca="1" si="93"/>
        <v>42.50306382978723</v>
      </c>
      <c r="P183" s="93">
        <f t="shared" ca="1" si="94"/>
        <v>56.27166197183098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6">L185+L186</f>
        <v>47000</v>
      </c>
      <c r="M184" s="466">
        <f t="shared" ca="1" si="96"/>
        <v>35500</v>
      </c>
      <c r="N184" s="466">
        <f t="shared" ca="1" si="96"/>
        <v>19976.439999999999</v>
      </c>
      <c r="O184" s="466">
        <f t="shared" ca="1" si="93"/>
        <v>42.50306382978723</v>
      </c>
      <c r="P184" s="466">
        <f t="shared" ca="1" si="94"/>
        <v>56.27166197183098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IFERROR(__xludf.DUMMYFUNCTION("IMPORTRANGE(""https://docs.google.com/spreadsheets/d/1MeEWN-I1oV_STSDYn1IFDPWt_1FKiwhDph83XaGc0o0/edit?usp=sharing"",""งบพรบ!CO24"")"),47000)</f>
        <v>47000</v>
      </c>
      <c r="M186" s="93">
        <f ca="1">IFERROR(__xludf.DUMMYFUNCTION("IMPORTRANGE(""https://docs.google.com/spreadsheets/d/1MeEWN-I1oV_STSDYn1IFDPWt_1FKiwhDph83XaGc0o0/edit?usp=sharing"",""งบพรบ!CT24"")"),35500)</f>
        <v>35500</v>
      </c>
      <c r="N186" s="93">
        <f ca="1">IFERROR(__xludf.DUMMYFUNCTION("IMPORTRANGE(""https://docs.google.com/spreadsheets/d/1MeEWN-I1oV_STSDYn1IFDPWt_1FKiwhDph83XaGc0o0/edit?usp=sharing"",""งบพรบ!CV24"")"),19976.44)</f>
        <v>19976.439999999999</v>
      </c>
      <c r="O186" s="93">
        <f t="shared" ca="1" si="93"/>
        <v>42.50306382978723</v>
      </c>
      <c r="P186" s="93">
        <f t="shared" ca="1" si="94"/>
        <v>56.27166197183098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IFERROR(__xludf.DUMMYFUNCTION("IMPORTRANGE(""https://docs.google.com/spreadsheets/d/1MeEWN-I1oV_STSDYn1IFDPWt_1FKiwhDph83XaGc0o0/edit?usp=sharing"",""งบพรบ!CR24"")"),0)</f>
        <v>0</v>
      </c>
      <c r="M189" s="93">
        <f ca="1">IFERROR(__xludf.DUMMYFUNCTION("IMPORTRANGE(""https://docs.google.com/spreadsheets/d/1MeEWN-I1oV_STSDYn1IFDPWt_1FKiwhDph83XaGc0o0/edit?usp=sharing"",""งบพรบ!CU24"")"),0)</f>
        <v>0</v>
      </c>
      <c r="N189" s="93">
        <f ca="1">IFERROR(__xludf.DUMMYFUNCTION("IMPORTRANGE(""https://docs.google.com/spreadsheets/d/1MeEWN-I1oV_STSDYn1IFDPWt_1FKiwhDph83XaGc0o0/edit?usp=sharing"",""งบพรบ!CW24"")"),0)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IFERROR(__xludf.DUMMYFUNCTION("IMPORTRANGE(""https://docs.google.com/spreadsheets/d/1QqKyyYR6Q21VydFLVH3TRQUabQu_ym0Zz7PgGX0-kHA/edit?usp=sharing"",""แผน!Z24"")"),6000)</f>
        <v>6000</v>
      </c>
      <c r="M191" s="155"/>
      <c r="N191" s="276">
        <v>3832.44</v>
      </c>
      <c r="O191" s="155">
        <f ca="1">IF(L191&gt;0,N191*100/L191,0)</f>
        <v>63.874000000000002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IFERROR(__xludf.DUMMYFUNCTION("IMPORTRANGE(""https://docs.google.com/spreadsheets/d/1QqKyyYR6Q21VydFLVH3TRQUabQu_ym0Zz7PgGX0-kHA/edit?usp=sharing"",""แผน!AC24"")"),4)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8840</v>
      </c>
      <c r="O198" s="155">
        <f ca="1">IF(L198&gt;0,N198*100/L198,0)</f>
        <v>34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IFERROR(__xludf.DUMMYFUNCTION("IMPORTRANGE(""https://docs.google.com/spreadsheets/d/1QqKyyYR6Q21VydFLVH3TRQUabQu_ym0Zz7PgGX0-kHA/edit?usp=sharing"",""แผน!AE24"")"),2000)</f>
        <v>2000</v>
      </c>
      <c r="M199" s="466"/>
      <c r="N199" s="801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IFERROR(__xludf.DUMMYFUNCTION("IMPORTRANGE(""https://docs.google.com/spreadsheets/d/1QqKyyYR6Q21VydFLVH3TRQUabQu_ym0Zz7PgGX0-kHA/edit?usp=sharing"",""แผน!AF24"")"),16000)</f>
        <v>16000</v>
      </c>
      <c r="M200" s="466"/>
      <c r="N200" s="801">
        <v>8840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IFERROR(__xludf.DUMMYFUNCTION("IMPORTRANGE(""https://docs.google.com/spreadsheets/d/1QqKyyYR6Q21VydFLVH3TRQUabQu_ym0Zz7PgGX0-kHA/edit?usp=sharing"",""แผน!AG24"")"),8000)</f>
        <v>8000</v>
      </c>
      <c r="M201" s="466"/>
      <c r="N201" s="801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IFERROR(__xludf.DUMMYFUNCTION("IMPORTRANGE(""https://docs.google.com/spreadsheets/d/1QqKyyYR6Q21VydFLVH3TRQUabQu_ym0Zz7PgGX0-kHA/edit?usp=sharing"",""แผน!AH24"")"),0)</f>
        <v>0</v>
      </c>
      <c r="M202" s="466"/>
      <c r="N202" s="801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IFERROR(__xludf.DUMMYFUNCTION("IMPORTRANGE(""https://docs.google.com/spreadsheets/d/1QqKyyYR6Q21VydFLVH3TRQUabQu_ym0Zz7PgGX0-kHA/edit?usp=sharing"",""แผน!AI24"")"),2)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IFERROR(__xludf.DUMMYFUNCTION("IMPORTRANGE(""https://docs.google.com/spreadsheets/d/1QqKyyYR6Q21VydFLVH3TRQUabQu_ym0Zz7PgGX0-kHA/edit?usp=sharing"",""แผน!AK24"")"),0)</f>
        <v>0</v>
      </c>
      <c r="M210" s="466"/>
      <c r="N210" s="801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IFERROR(__xludf.DUMMYFUNCTION("IMPORTRANGE(""https://docs.google.com/spreadsheets/d/1QqKyyYR6Q21VydFLVH3TRQUabQu_ym0Zz7PgGX0-kHA/edit?usp=sharing"",""แผน!AL24"")"),0)</f>
        <v>0</v>
      </c>
      <c r="M211" s="466"/>
      <c r="N211" s="801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IFERROR(__xludf.DUMMYFUNCTION("IMPORTRANGE(""https://docs.google.com/spreadsheets/d/1QqKyyYR6Q21VydFLVH3TRQUabQu_ym0Zz7PgGX0-kHA/edit?usp=sharing"",""แผน!AM24"")"),0)</f>
        <v>0</v>
      </c>
      <c r="M212" s="466"/>
      <c r="N212" s="801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IFERROR(__xludf.DUMMYFUNCTION("IMPORTRANGE(""https://docs.google.com/spreadsheets/d/1QqKyyYR6Q21VydFLVH3TRQUabQu_ym0Zz7PgGX0-kHA/edit?usp=sharing"",""แผน!AN24"")"),0)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IFERROR(__xludf.DUMMYFUNCTION("IMPORTRANGE(""https://docs.google.com/spreadsheets/d/1QqKyyYR6Q21VydFLVH3TRQUabQu_ym0Zz7PgGX0-kHA/edit?usp=sharing"",""แผน!AN24"")"),0)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15000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IFERROR(__xludf.DUMMYFUNCTION("IMPORTRANGE(""https://docs.google.com/spreadsheets/d/1QqKyyYR6Q21VydFLVH3TRQUabQu_ym0Zz7PgGX0-kHA/edit?usp=sharing"",""แผน!AP24"")"),5000)</f>
        <v>5000</v>
      </c>
      <c r="M218" s="466"/>
      <c r="N218" s="801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IFERROR(__xludf.DUMMYFUNCTION("IMPORTRANGE(""https://docs.google.com/spreadsheets/d/1QqKyyYR6Q21VydFLVH3TRQUabQu_ym0Zz7PgGX0-kHA/edit?usp=sharing"",""แผน!AQ24"")"),10000)</f>
        <v>10000</v>
      </c>
      <c r="M219" s="466"/>
      <c r="N219" s="801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IFERROR(__xludf.DUMMYFUNCTION("IMPORTRANGE(""https://docs.google.com/spreadsheets/d/1QqKyyYR6Q21VydFLVH3TRQUabQu_ym0Zz7PgGX0-kHA/edit?usp=sharing"",""แผน!AR24"")"),0)</f>
        <v>0</v>
      </c>
      <c r="M220" s="466"/>
      <c r="N220" s="801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IFERROR(__xludf.DUMMYFUNCTION("IMPORTRANGE(""https://docs.google.com/spreadsheets/d/1QqKyyYR6Q21VydFLVH3TRQUabQu_ym0Zz7PgGX0-kHA/edit?usp=sharing"",""แผน!AT24"")"),40000)</f>
        <v>40000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IFERROR(__xludf.DUMMYFUNCTION("IMPORTRANGE(""https://docs.google.com/spreadsheets/d/1QqKyyYR6Q21VydFLVH3TRQUabQu_ym0Zz7PgGX0-kHA/edit?usp=sharing"",""แผน!AT24"")"),40000)</f>
        <v>40000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IFERROR(__xludf.DUMMYFUNCTION("IMPORTRANGE(""https://docs.google.com/spreadsheets/d/1QqKyyYR6Q21VydFLVH3TRQUabQu_ym0Zz7PgGX0-kHA/edit?usp=sharing"",""แผน!AS24"")"),0)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5">I237+I248</f>
        <v>0</v>
      </c>
      <c r="J226" s="821">
        <f t="shared" si="105"/>
        <v>0</v>
      </c>
      <c r="K226" s="82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6">L238+L249</f>
        <v>0</v>
      </c>
      <c r="M227" s="831"/>
      <c r="N227" s="831">
        <f t="shared" ref="N227:N231" si="107">N238+N249</f>
        <v>0</v>
      </c>
      <c r="O227" s="832"/>
      <c r="P227" s="83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35"/>
      <c r="R229" s="835"/>
      <c r="S229" s="835"/>
      <c r="T229" s="835"/>
      <c r="U229" s="835"/>
      <c r="V229" s="835"/>
      <c r="W229" s="835"/>
      <c r="X229" s="835"/>
      <c r="Y229" s="835"/>
      <c r="Z229" s="835"/>
    </row>
    <row r="230" spans="1:2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35"/>
      <c r="R230" s="835"/>
      <c r="S230" s="835"/>
      <c r="T230" s="835"/>
      <c r="U230" s="835"/>
      <c r="V230" s="835"/>
      <c r="W230" s="835"/>
      <c r="X230" s="835"/>
      <c r="Y230" s="835"/>
      <c r="Z230" s="835"/>
    </row>
    <row r="231" spans="1:2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35"/>
      <c r="R231" s="835"/>
      <c r="S231" s="835"/>
      <c r="T231" s="835"/>
      <c r="U231" s="835"/>
      <c r="V231" s="835"/>
      <c r="W231" s="835"/>
      <c r="X231" s="835"/>
      <c r="Y231" s="835"/>
      <c r="Z231" s="835"/>
    </row>
    <row r="232" spans="1:2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IFERROR(__xludf.DUMMYFUNCTION("IMPORTRANGE(""https://docs.google.com/spreadsheets/d/1QqKyyYR6Q21VydFLVH3TRQUabQu_ym0Zz7PgGX0-kHA/edit?usp=sharing"",""แผน!AV24"")"),0)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IFERROR(__xludf.DUMMYFUNCTION("IMPORTRANGE(""https://docs.google.com/spreadsheets/d/1QqKyyYR6Q21VydFLVH3TRQUabQu_ym0Zz7PgGX0-kHA/edit?usp=sharing"",""แผน!AW24"")"),0)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IFERROR(__xludf.DUMMYFUNCTION("IMPORTRANGE(""https://docs.google.com/spreadsheets/d/1QqKyyYR6Q21VydFLVH3TRQUabQu_ym0Zz7PgGX0-kHA/edit?usp=sharing"",""แผน!AX24"")"),0)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IFERROR(__xludf.DUMMYFUNCTION("IMPORTRANGE(""https://docs.google.com/spreadsheets/d/1QqKyyYR6Q21VydFLVH3TRQUabQu_ym0Zz7PgGX0-kHA/edit?usp=sharing"",""แผน!AY24"")"),0)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IFERROR(__xludf.DUMMYFUNCTION("IMPORTRANGE(""https://docs.google.com/spreadsheets/d/1QqKyyYR6Q21VydFLVH3TRQUabQu_ym0Zz7PgGX0-kHA/edit?usp=sharing"",""แผน!BE24"")"),0)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IFERROR(__xludf.DUMMYFUNCTION("IMPORTRANGE(""https://docs.google.com/spreadsheets/d/1QqKyyYR6Q21VydFLVH3TRQUabQu_ym0Zz7PgGX0-kHA/edit?usp=sharing"",""แผน!AZ24"")"),0)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IFERROR(__xludf.DUMMYFUNCTION("IMPORTRANGE(""https://docs.google.com/spreadsheets/d/1QqKyyYR6Q21VydFLVH3TRQUabQu_ym0Zz7PgGX0-kHA/edit?usp=sharing"",""แผน!BA24"")"),0)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IFERROR(__xludf.DUMMYFUNCTION("IMPORTRANGE(""https://docs.google.com/spreadsheets/d/1QqKyyYR6Q21VydFLVH3TRQUabQu_ym0Zz7PgGX0-kHA/edit?usp=sharing"",""แผน!BB24"")"),0)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IFERROR(__xludf.DUMMYFUNCTION("IMPORTRANGE(""https://docs.google.com/spreadsheets/d/1QqKyyYR6Q21VydFLVH3TRQUabQu_ym0Zz7PgGX0-kHA/edit?usp=sharing"",""แผน!BC24"")"),0)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IFERROR(__xludf.DUMMYFUNCTION("IMPORTRANGE(""https://docs.google.com/spreadsheets/d/1QqKyyYR6Q21VydFLVH3TRQUabQu_ym0Zz7PgGX0-kHA/edit?usp=sharing"",""แผน!BF24"")"),0)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24</v>
      </c>
      <c r="K260" s="254">
        <f ca="1">IF(I260&gt;0,J260*100/I260,0)</f>
        <v>109.09090909090909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21020</v>
      </c>
      <c r="O261" s="155">
        <f t="shared" ref="O261:O269" ca="1" si="117">IF(L261&gt;0,N261*100/L261,0)</f>
        <v>78.141263940520446</v>
      </c>
      <c r="P261" s="155">
        <f t="shared" ref="P261:P269" ca="1" si="118">IF(M261&gt;0,N261*100/M261,0)</f>
        <v>87.94979079497908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21020</v>
      </c>
      <c r="O263" s="93">
        <f t="shared" ca="1" si="117"/>
        <v>78.141263940520446</v>
      </c>
      <c r="P263" s="93">
        <f t="shared" ca="1" si="118"/>
        <v>87.94979079497908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21020</v>
      </c>
      <c r="O264" s="466">
        <f t="shared" ca="1" si="117"/>
        <v>78.141263940520446</v>
      </c>
      <c r="P264" s="466">
        <f t="shared" ca="1" si="118"/>
        <v>87.94979079497908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IFERROR(__xludf.DUMMYFUNCTION("IMPORTRANGE(""https://docs.google.com/spreadsheets/d/1MeEWN-I1oV_STSDYn1IFDPWt_1FKiwhDph83XaGc0o0/edit?usp=sharing"",""งบพรบ!CY24"")"),26900)</f>
        <v>26900</v>
      </c>
      <c r="M266" s="93">
        <f ca="1">IFERROR(__xludf.DUMMYFUNCTION("IMPORTRANGE(""https://docs.google.com/spreadsheets/d/1MeEWN-I1oV_STSDYn1IFDPWt_1FKiwhDph83XaGc0o0/edit?usp=sharing"",""งบพรบ!DD24"")"),23900)</f>
        <v>23900</v>
      </c>
      <c r="N266" s="93">
        <f ca="1">IFERROR(__xludf.DUMMYFUNCTION("IMPORTRANGE(""https://docs.google.com/spreadsheets/d/1MeEWN-I1oV_STSDYn1IFDPWt_1FKiwhDph83XaGc0o0/edit?usp=sharing"",""งบพรบ!DF24"")"),21020)</f>
        <v>21020</v>
      </c>
      <c r="O266" s="93">
        <f t="shared" ca="1" si="117"/>
        <v>78.141263940520446</v>
      </c>
      <c r="P266" s="93">
        <f t="shared" ca="1" si="118"/>
        <v>87.94979079497908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IFERROR(__xludf.DUMMYFUNCTION("IMPORTRANGE(""https://docs.google.com/spreadsheets/d/1MeEWN-I1oV_STSDYn1IFDPWt_1FKiwhDph83XaGc0o0/edit?usp=sharing"",""งบพรบ!DB24"")"),0)</f>
        <v>0</v>
      </c>
      <c r="M269" s="93">
        <f ca="1">IFERROR(__xludf.DUMMYFUNCTION("IMPORTRANGE(""https://docs.google.com/spreadsheets/d/1MeEWN-I1oV_STSDYn1IFDPWt_1FKiwhDph83XaGc0o0/edit?usp=sharing"",""งบพรบ!DE24"")"),0)</f>
        <v>0</v>
      </c>
      <c r="N269" s="93">
        <f ca="1">IFERROR(__xludf.DUMMYFUNCTION("IMPORTRANGE(""https://docs.google.com/spreadsheets/d/1MeEWN-I1oV_STSDYn1IFDPWt_1FKiwhDph83XaGc0o0/edit?usp=sharing"",""งบพรบ!DG24"")"),0)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IFERROR(__xludf.DUMMYFUNCTION("IMPORTRANGE(""https://docs.google.com/spreadsheets/d/1QqKyyYR6Q21VydFLVH3TRQUabQu_ym0Zz7PgGX0-kHA/edit?usp=sharing"",""แผน!EA24"")"),22)</f>
        <v>22</v>
      </c>
      <c r="J271" s="215">
        <v>24</v>
      </c>
      <c r="K271" s="163">
        <f ca="1">IF(I271&gt;0,J271*100/I271,0)</f>
        <v>109.09090909090909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100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4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199610</v>
      </c>
      <c r="M277" s="155">
        <f t="shared" ca="1" si="125"/>
        <v>140900</v>
      </c>
      <c r="N277" s="155">
        <f t="shared" ca="1" si="125"/>
        <v>75602</v>
      </c>
      <c r="O277" s="155">
        <f t="shared" ref="O277:O285" ca="1" si="126">IF(L277&gt;0,N277*100/L277,0)</f>
        <v>37.874855969139823</v>
      </c>
      <c r="P277" s="155">
        <f t="shared" ref="P277:P285" ca="1" si="127">IF(M277&gt;0,N277*100/M277,0)</f>
        <v>53.656493967352731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199610</v>
      </c>
      <c r="M279" s="93">
        <f t="shared" ca="1" si="128"/>
        <v>140900</v>
      </c>
      <c r="N279" s="93">
        <f t="shared" ca="1" si="128"/>
        <v>75602</v>
      </c>
      <c r="O279" s="93">
        <f t="shared" ca="1" si="126"/>
        <v>37.874855969139823</v>
      </c>
      <c r="P279" s="93">
        <f t="shared" ca="1" si="127"/>
        <v>53.656493967352731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29">L281+L282</f>
        <v>199610</v>
      </c>
      <c r="M280" s="466">
        <f t="shared" ca="1" si="129"/>
        <v>140900</v>
      </c>
      <c r="N280" s="466">
        <f t="shared" ca="1" si="129"/>
        <v>75602</v>
      </c>
      <c r="O280" s="466">
        <f t="shared" ca="1" si="126"/>
        <v>37.874855969139823</v>
      </c>
      <c r="P280" s="466">
        <f t="shared" ca="1" si="127"/>
        <v>53.656493967352731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IFERROR(__xludf.DUMMYFUNCTION("IMPORTRANGE(""https://docs.google.com/spreadsheets/d/1MeEWN-I1oV_STSDYn1IFDPWt_1FKiwhDph83XaGc0o0/edit?usp=sharing"",""งบพรบ!DI24"")"),199610)</f>
        <v>199610</v>
      </c>
      <c r="M282" s="93">
        <f ca="1">IFERROR(__xludf.DUMMYFUNCTION("IMPORTRANGE(""https://docs.google.com/spreadsheets/d/1MeEWN-I1oV_STSDYn1IFDPWt_1FKiwhDph83XaGc0o0/edit?usp=sharing"",""งบพรบ!DN24"")"),140900)</f>
        <v>140900</v>
      </c>
      <c r="N282" s="93">
        <f ca="1">IFERROR(__xludf.DUMMYFUNCTION("IMPORTRANGE(""https://docs.google.com/spreadsheets/d/1MeEWN-I1oV_STSDYn1IFDPWt_1FKiwhDph83XaGc0o0/edit?usp=sharing"",""งบพรบ!DP24"")"),75602)</f>
        <v>75602</v>
      </c>
      <c r="O282" s="93">
        <f t="shared" ca="1" si="126"/>
        <v>37.874855969139823</v>
      </c>
      <c r="P282" s="93">
        <f t="shared" ca="1" si="127"/>
        <v>53.656493967352731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IFERROR(__xludf.DUMMYFUNCTION("IMPORTRANGE(""https://docs.google.com/spreadsheets/d/1MeEWN-I1oV_STSDYn1IFDPWt_1FKiwhDph83XaGc0o0/edit?usp=sharing"",""งบพรบ!DL24"")"),0)</f>
        <v>0</v>
      </c>
      <c r="M285" s="93">
        <f ca="1">IFERROR(__xludf.DUMMYFUNCTION("IMPORTRANGE(""https://docs.google.com/spreadsheets/d/1MeEWN-I1oV_STSDYn1IFDPWt_1FKiwhDph83XaGc0o0/edit?usp=sharing"",""งบพรบ!DO24"")"),0)</f>
        <v>0</v>
      </c>
      <c r="N285" s="93">
        <f ca="1">IFERROR(__xludf.DUMMYFUNCTION("IMPORTRANGE(""https://docs.google.com/spreadsheets/d/1MeEWN-I1oV_STSDYn1IFDPWt_1FKiwhDph83XaGc0o0/edit?usp=sharing"",""งบพรบ!DQ24"")"),0)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IFERROR(__xludf.DUMMYFUNCTION("IMPORTRANGE(""https://docs.google.com/spreadsheets/d/1QqKyyYR6Q21VydFLVH3TRQUabQu_ym0Zz7PgGX0-kHA/edit?usp=sharing"",""แผน!EC24"")"),100)</f>
        <v>100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IFERROR(__xludf.DUMMYFUNCTION("IMPORTRANGE(""https://docs.google.com/spreadsheets/d/1QqKyyYR6Q21VydFLVH3TRQUabQu_ym0Zz7PgGX0-kHA/edit?usp=sharing"",""แผน!EB24"")"),10)</f>
        <v>10</v>
      </c>
      <c r="J288" s="648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IFERROR(__xludf.DUMMYFUNCTION("IMPORTRANGE(""https://docs.google.com/spreadsheets/d/1QqKyyYR6Q21VydFLVH3TRQUabQu_ym0Zz7PgGX0-kHA/edit?usp=sharing"",""แผน!EB24"")"),10)</f>
        <v>10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IFERROR(__xludf.DUMMYFUNCTION("IMPORTRANGE(""https://docs.google.com/spreadsheets/d/1QqKyyYR6Q21VydFLVH3TRQUabQu_ym0Zz7PgGX0-kHA/edit?usp=sharing"",""แผน!EB24"")"),10)</f>
        <v>10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IFERROR(__xludf.DUMMYFUNCTION("IMPORTRANGE(""https://docs.google.com/spreadsheets/d/1QqKyyYR6Q21VydFLVH3TRQUabQu_ym0Zz7PgGX0-kHA/edit?usp=sharing"",""แผน!EB24"")"),10)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1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IFERROR(__xludf.DUMMYFUNCTION("IMPORTRANGE(""https://docs.google.com/spreadsheets/d/1QqKyyYR6Q21VydFLVH3TRQUabQu_ym0Zz7PgGX0-kHA/edit?usp=sharing"",""แผน!EB24"")"),10)</f>
        <v>10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4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168400</v>
      </c>
      <c r="N298" s="155">
        <f t="shared" ca="1" si="135"/>
        <v>108756</v>
      </c>
      <c r="O298" s="155">
        <f t="shared" ref="O298:O306" ca="1" si="136">IF(L298&gt;0,N298*100/L298,0)</f>
        <v>48.25022182786158</v>
      </c>
      <c r="P298" s="155">
        <f t="shared" ref="P298:P306" ca="1" si="137">IF(M298&gt;0,N298*100/M298,0)</f>
        <v>64.581947743467936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225400</v>
      </c>
      <c r="M300" s="93">
        <f t="shared" ca="1" si="138"/>
        <v>168400</v>
      </c>
      <c r="N300" s="93">
        <f t="shared" ca="1" si="138"/>
        <v>108756</v>
      </c>
      <c r="O300" s="93">
        <f t="shared" ca="1" si="136"/>
        <v>48.25022182786158</v>
      </c>
      <c r="P300" s="93">
        <f t="shared" ca="1" si="137"/>
        <v>64.581947743467936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168400</v>
      </c>
      <c r="N301" s="466">
        <f t="shared" ca="1" si="139"/>
        <v>108756</v>
      </c>
      <c r="O301" s="466">
        <f t="shared" ca="1" si="136"/>
        <v>48.25022182786158</v>
      </c>
      <c r="P301" s="466">
        <f t="shared" ca="1" si="137"/>
        <v>64.581947743467936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IFERROR(__xludf.DUMMYFUNCTION("IMPORTRANGE(""https://docs.google.com/spreadsheets/d/1MeEWN-I1oV_STSDYn1IFDPWt_1FKiwhDph83XaGc0o0/edit?usp=sharing"",""งบพรบ!DS24"")"),225400)</f>
        <v>225400</v>
      </c>
      <c r="M303" s="93">
        <f ca="1">IFERROR(__xludf.DUMMYFUNCTION("IMPORTRANGE(""https://docs.google.com/spreadsheets/d/1MeEWN-I1oV_STSDYn1IFDPWt_1FKiwhDph83XaGc0o0/edit?usp=sharing"",""งบพรบ!DX24"")"),168400)</f>
        <v>168400</v>
      </c>
      <c r="N303" s="93">
        <f ca="1">IFERROR(__xludf.DUMMYFUNCTION("IMPORTRANGE(""https://docs.google.com/spreadsheets/d/1MeEWN-I1oV_STSDYn1IFDPWt_1FKiwhDph83XaGc0o0/edit?usp=sharing"",""งบพรบ!DZ24"")"),108756)</f>
        <v>108756</v>
      </c>
      <c r="O303" s="93">
        <f t="shared" ca="1" si="136"/>
        <v>48.25022182786158</v>
      </c>
      <c r="P303" s="93">
        <f t="shared" ca="1" si="137"/>
        <v>64.581947743467936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IFERROR(__xludf.DUMMYFUNCTION("IMPORTRANGE(""https://docs.google.com/spreadsheets/d/1MeEWN-I1oV_STSDYn1IFDPWt_1FKiwhDph83XaGc0o0/edit?usp=sharing"",""งบพรบ!DV24"")"),0)</f>
        <v>0</v>
      </c>
      <c r="M306" s="93">
        <f ca="1">IFERROR(__xludf.DUMMYFUNCTION("IMPORTRANGE(""https://docs.google.com/spreadsheets/d/1MeEWN-I1oV_STSDYn1IFDPWt_1FKiwhDph83XaGc0o0/edit?usp=sharing"",""งบพรบ!DY24"")"),0)</f>
        <v>0</v>
      </c>
      <c r="N306" s="93">
        <f ca="1">IFERROR(__xludf.DUMMYFUNCTION("IMPORTRANGE(""https://docs.google.com/spreadsheets/d/1MeEWN-I1oV_STSDYn1IFDPWt_1FKiwhDph83XaGc0o0/edit?usp=sharing"",""งบพรบ!EA24"")"),0)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/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IFERROR(__xludf.DUMMYFUNCTION("IMPORTRANGE(""https://docs.google.com/spreadsheets/d/1QqKyyYR6Q21VydFLVH3TRQUabQu_ym0Zz7PgGX0-kHA/edit?usp=sharing"",""แผน!ED24"")"),20)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IFERROR(__xludf.DUMMYFUNCTION("IMPORTRANGE(""https://docs.google.com/spreadsheets/d/1QqKyyYR6Q21VydFLVH3TRQUabQu_ym0Zz7PgGX0-kHA/edit?usp=sharing"",""แผน!ED24"")"),20)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IFERROR(__xludf.DUMMYFUNCTION("IMPORTRANGE(""https://docs.google.com/spreadsheets/d/1QqKyyYR6Q21VydFLVH3TRQUabQu_ym0Zz7PgGX0-kHA/edit?usp=sharing"",""แผน!ED24"")"),20)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IFERROR(__xludf.DUMMYFUNCTION("IMPORTRANGE(""https://docs.google.com/spreadsheets/d/1QqKyyYR6Q21VydFLVH3TRQUabQu_ym0Zz7PgGX0-kHA/edit?usp=sharing"",""แผน!EE24"")"),4)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4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IFERROR(__xludf.DUMMYFUNCTION("IMPORTRANGE(""https://docs.google.com/spreadsheets/d/1MeEWN-I1oV_STSDYn1IFDPWt_1FKiwhDph83XaGc0o0/edit?usp=sharing"",""งบพรบ!EC24"")"),0)</f>
        <v>0</v>
      </c>
      <c r="M320" s="93">
        <f ca="1">IFERROR(__xludf.DUMMYFUNCTION("IMPORTRANGE(""https://docs.google.com/spreadsheets/d/1MeEWN-I1oV_STSDYn1IFDPWt_1FKiwhDph83XaGc0o0/edit?usp=sharing"",""งบพรบ!EH24"")"),0)</f>
        <v>0</v>
      </c>
      <c r="N320" s="93">
        <f ca="1">IFERROR(__xludf.DUMMYFUNCTION("IMPORTRANGE(""https://docs.google.com/spreadsheets/d/1MeEWN-I1oV_STSDYn1IFDPWt_1FKiwhDph83XaGc0o0/edit?usp=sharing"",""งบพรบ!EJ24"")"),0)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IFERROR(__xludf.DUMMYFUNCTION("IMPORTRANGE(""https://docs.google.com/spreadsheets/d/1MeEWN-I1oV_STSDYn1IFDPWt_1FKiwhDph83XaGc0o0/edit?usp=sharing"",""งบพรบ!EF24"")"),0)</f>
        <v>0</v>
      </c>
      <c r="M323" s="93">
        <f ca="1">IFERROR(__xludf.DUMMYFUNCTION("IMPORTRANGE(""https://docs.google.com/spreadsheets/d/1MeEWN-I1oV_STSDYn1IFDPWt_1FKiwhDph83XaGc0o0/edit?usp=sharing"",""งบพรบ!EI24"")"),0)</f>
        <v>0</v>
      </c>
      <c r="N323" s="93">
        <f ca="1">IFERROR(__xludf.DUMMYFUNCTION("IMPORTRANGE(""https://docs.google.com/spreadsheets/d/1MeEWN-I1oV_STSDYn1IFDPWt_1FKiwhDph83XaGc0o0/edit?usp=sharing"",""งบพรบ!EK24"")"),0)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IFERROR(__xludf.DUMMYFUNCTION("IMPORTRANGE(""https://docs.google.com/spreadsheets/d/1QqKyyYR6Q21VydFLVH3TRQUabQu_ym0Zz7PgGX0-kHA/edit?usp=sharing"",""แผน!EF24"")"),0)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IFERROR(__xludf.DUMMYFUNCTION("IMPORTRANGE(""https://docs.google.com/spreadsheets/d/1QqKyyYR6Q21VydFLVH3TRQUabQu_ym0Zz7PgGX0-kHA/edit?usp=sharing"",""แผน!EG24"")"),1700)</f>
        <v>1700</v>
      </c>
      <c r="J327" s="413">
        <f ca="1">J338+J341+J342+J343</f>
        <v>1085</v>
      </c>
      <c r="K327" s="414">
        <f ca="1">IF(I327&gt;0,J327*100/I327,0)</f>
        <v>63.823529411764703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4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170000</v>
      </c>
      <c r="M328" s="155">
        <f t="shared" ca="1" si="149"/>
        <v>127500</v>
      </c>
      <c r="N328" s="155">
        <f t="shared" ca="1" si="149"/>
        <v>71780</v>
      </c>
      <c r="O328" s="155">
        <f t="shared" ref="O328:O336" ca="1" si="150">IF(L328&gt;0,N328*100/L328,0)</f>
        <v>42.223529411764709</v>
      </c>
      <c r="P328" s="155">
        <f t="shared" ref="P328:P336" ca="1" si="151">IF(M328&gt;0,N328*100/M328,0)</f>
        <v>56.298039215686273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170000</v>
      </c>
      <c r="M330" s="93">
        <f t="shared" ca="1" si="152"/>
        <v>127500</v>
      </c>
      <c r="N330" s="93">
        <f t="shared" ca="1" si="152"/>
        <v>71780</v>
      </c>
      <c r="O330" s="93">
        <f t="shared" ca="1" si="150"/>
        <v>42.223529411764709</v>
      </c>
      <c r="P330" s="93">
        <f t="shared" ca="1" si="151"/>
        <v>56.298039215686273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3">L332+L333</f>
        <v>170000</v>
      </c>
      <c r="M331" s="466">
        <f t="shared" ca="1" si="153"/>
        <v>127500</v>
      </c>
      <c r="N331" s="466">
        <f t="shared" ca="1" si="153"/>
        <v>71780</v>
      </c>
      <c r="O331" s="466">
        <f t="shared" ca="1" si="150"/>
        <v>42.223529411764709</v>
      </c>
      <c r="P331" s="466">
        <f t="shared" ca="1" si="151"/>
        <v>56.298039215686273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IFERROR(__xludf.DUMMYFUNCTION("IMPORTRANGE(""https://docs.google.com/spreadsheets/d/1MeEWN-I1oV_STSDYn1IFDPWt_1FKiwhDph83XaGc0o0/edit?usp=sharing"",""งบพรบ!EM24"")"),170000)</f>
        <v>170000</v>
      </c>
      <c r="M333" s="93">
        <f ca="1">IFERROR(__xludf.DUMMYFUNCTION("IMPORTRANGE(""https://docs.google.com/spreadsheets/d/1MeEWN-I1oV_STSDYn1IFDPWt_1FKiwhDph83XaGc0o0/edit?usp=sharing"",""งบพรบ!ER24"")"),127500)</f>
        <v>127500</v>
      </c>
      <c r="N333" s="93">
        <f ca="1">IFERROR(__xludf.DUMMYFUNCTION("IMPORTRANGE(""https://docs.google.com/spreadsheets/d/1MeEWN-I1oV_STSDYn1IFDPWt_1FKiwhDph83XaGc0o0/edit?usp=sharing"",""งบพรบ!ET24"")"),71780)</f>
        <v>71780</v>
      </c>
      <c r="O333" s="93">
        <f t="shared" ca="1" si="150"/>
        <v>42.223529411764709</v>
      </c>
      <c r="P333" s="93">
        <f t="shared" ca="1" si="151"/>
        <v>56.298039215686273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IFERROR(__xludf.DUMMYFUNCTION("IMPORTRANGE(""https://docs.google.com/spreadsheets/d/1MeEWN-I1oV_STSDYn1IFDPWt_1FKiwhDph83XaGc0o0/edit?usp=sharing"",""งบพรบ!EP24"")"),0)</f>
        <v>0</v>
      </c>
      <c r="M336" s="93">
        <f ca="1">IFERROR(__xludf.DUMMYFUNCTION("IMPORTRANGE(""https://docs.google.com/spreadsheets/d/1MeEWN-I1oV_STSDYn1IFDPWt_1FKiwhDph83XaGc0o0/edit?usp=sharing"",""งบพรบ!ES24"")"),0)</f>
        <v>0</v>
      </c>
      <c r="N336" s="93">
        <f ca="1">IFERROR(__xludf.DUMMYFUNCTION("IMPORTRANGE(""https://docs.google.com/spreadsheets/d/1MeEWN-I1oV_STSDYn1IFDPWt_1FKiwhDph83XaGc0o0/edit?usp=sharing"",""งบพรบ!EU24"")"),0)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IFERROR(__xludf.DUMMYFUNCTION("IMPORTRANGE(""https://docs.google.com/spreadsheets/d/1QqKyyYR6Q21VydFLVH3TRQUabQu_ym0Zz7PgGX0-kHA/edit?usp=sharing"",""แผน!EG24"")"),1700)</f>
        <v>1700</v>
      </c>
      <c r="J338" s="270">
        <f ca="1">IFERROR(__xludf.DUMMYFUNCTION("IMPORTRANGE(""https://docs.google.com/spreadsheets/d/1kVcqe37tkHyjCSG3S0O1AXqVkqjo8mSIZil3BcpIysc/edit?usp=sharing"",""ศูนย์!D24"")"),902)</f>
        <v>902</v>
      </c>
      <c r="K338" s="466">
        <f ca="1">IF(I338&gt;0,J338*100/I338,0)</f>
        <v>53.058823529411768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IFERROR(__xludf.DUMMYFUNCTION("IMPORTRANGE(""https://docs.google.com/spreadsheets/d/1QqKyyYR6Q21VydFLVH3TRQUabQu_ym0Zz7PgGX0-kHA/edit?usp=sharing"",""แผน!EH24"")"),6)</f>
        <v>6</v>
      </c>
      <c r="J340" s="270">
        <f ca="1">IFERROR(__xludf.DUMMYFUNCTION("IMPORTRANGE(""https://docs.google.com/spreadsheets/d/1kVcqe37tkHyjCSG3S0O1AXqVkqjo8mSIZil3BcpIysc/edit?usp=sharing"",""ศูนย์!E24"")"),2)</f>
        <v>2</v>
      </c>
      <c r="K340" s="466">
        <f ca="1">IF(I340&gt;0,J340*100/I340,0)</f>
        <v>33.333333333333336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IFERROR(__xludf.DUMMYFUNCTION("IMPORTRANGE(""https://docs.google.com/spreadsheets/d/1kVcqe37tkHyjCSG3S0O1AXqVkqjo8mSIZil3BcpIysc/edit?usp=sharing"",""ศูนย์!F24"")"),183)</f>
        <v>183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IFERROR(__xludf.DUMMYFUNCTION("IMPORTRANGE(""https://docs.google.com/spreadsheets/d/1kVcqe37tkHyjCSG3S0O1AXqVkqjo8mSIZil3BcpIysc/edit?usp=sharing"",""ศูนย์!G24"")"),0)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IFERROR(__xludf.DUMMYFUNCTION("IMPORTRANGE(""https://docs.google.com/spreadsheets/d/1kVcqe37tkHyjCSG3S0O1AXqVkqjo8mSIZil3BcpIysc/edit?usp=sharing"",""ศูนย์!H24"")"),0)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4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614330</v>
      </c>
      <c r="M345" s="155">
        <f t="shared" ca="1" si="155"/>
        <v>449160</v>
      </c>
      <c r="N345" s="155">
        <f t="shared" ca="1" si="155"/>
        <v>244179.84</v>
      </c>
      <c r="O345" s="155">
        <f t="shared" ref="O345:O353" ca="1" si="156">IF(L345&gt;0,N345*100/L345,0)</f>
        <v>39.74734100564843</v>
      </c>
      <c r="P345" s="155">
        <f t="shared" ref="P345:P353" ca="1" si="157">IF(M345&gt;0,N345*100/M345,0)</f>
        <v>54.363665508950042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614330</v>
      </c>
      <c r="M347" s="93">
        <f t="shared" ca="1" si="158"/>
        <v>449160</v>
      </c>
      <c r="N347" s="93">
        <f t="shared" ca="1" si="158"/>
        <v>244179.84</v>
      </c>
      <c r="O347" s="93">
        <f t="shared" ca="1" si="156"/>
        <v>39.74734100564843</v>
      </c>
      <c r="P347" s="93">
        <f t="shared" ca="1" si="157"/>
        <v>54.363665508950042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59">L349+L350</f>
        <v>545530</v>
      </c>
      <c r="M348" s="466">
        <f t="shared" ca="1" si="159"/>
        <v>380660</v>
      </c>
      <c r="N348" s="466">
        <f t="shared" ca="1" si="159"/>
        <v>175679.84</v>
      </c>
      <c r="O348" s="466">
        <f t="shared" ca="1" si="156"/>
        <v>32.203515846974504</v>
      </c>
      <c r="P348" s="466">
        <f t="shared" ca="1" si="157"/>
        <v>46.151379183523353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IFERROR(__xludf.DUMMYFUNCTION("IMPORTRANGE(""https://docs.google.com/spreadsheets/d/1MeEWN-I1oV_STSDYn1IFDPWt_1FKiwhDph83XaGc0o0/edit?usp=sharing"",""งบพรบ!EW24"")"),545530)</f>
        <v>545530</v>
      </c>
      <c r="M350" s="93">
        <f ca="1">IFERROR(__xludf.DUMMYFUNCTION("IMPORTRANGE(""https://docs.google.com/spreadsheets/d/1MeEWN-I1oV_STSDYn1IFDPWt_1FKiwhDph83XaGc0o0/edit?usp=sharing"",""งบพรบ!FB24"")"),380660)</f>
        <v>380660</v>
      </c>
      <c r="N350" s="93">
        <f ca="1">IFERROR(__xludf.DUMMYFUNCTION("IMPORTRANGE(""https://docs.google.com/spreadsheets/d/1MeEWN-I1oV_STSDYn1IFDPWt_1FKiwhDph83XaGc0o0/edit?usp=sharing"",""งบพรบ!FD24"")"),175679.84)</f>
        <v>175679.84</v>
      </c>
      <c r="O350" s="93">
        <f t="shared" ca="1" si="156"/>
        <v>32.203515846974504</v>
      </c>
      <c r="P350" s="93">
        <f t="shared" ca="1" si="157"/>
        <v>46.151379183523353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68800</v>
      </c>
      <c r="M351" s="466">
        <f t="shared" ca="1" si="160"/>
        <v>68500</v>
      </c>
      <c r="N351" s="466">
        <f t="shared" ca="1" si="160"/>
        <v>68500</v>
      </c>
      <c r="O351" s="466">
        <f t="shared" ca="1" si="156"/>
        <v>99.563953488372093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IFERROR(__xludf.DUMMYFUNCTION("IMPORTRANGE(""https://docs.google.com/spreadsheets/d/1MeEWN-I1oV_STSDYn1IFDPWt_1FKiwhDph83XaGc0o0/edit?usp=sharing"",""งบพรบ!EZ24"")"),68800)</f>
        <v>68800</v>
      </c>
      <c r="M353" s="93">
        <f ca="1">IFERROR(__xludf.DUMMYFUNCTION("IMPORTRANGE(""https://docs.google.com/spreadsheets/d/1MeEWN-I1oV_STSDYn1IFDPWt_1FKiwhDph83XaGc0o0/edit?usp=sharing"",""งบพรบ!FC24"")"),68500)</f>
        <v>68500</v>
      </c>
      <c r="N353" s="93">
        <f ca="1">IFERROR(__xludf.DUMMYFUNCTION("IMPORTRANGE(""https://docs.google.com/spreadsheets/d/1MeEWN-I1oV_STSDYn1IFDPWt_1FKiwhDph83XaGc0o0/edit?usp=sharing"",""งบพรบ!FE24"")"),68500)</f>
        <v>68500</v>
      </c>
      <c r="O353" s="93">
        <f t="shared" ca="1" si="156"/>
        <v>99.563953488372093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IFERROR(__xludf.DUMMYFUNCTION("IMPORTRANGE(""https://docs.google.com/spreadsheets/d/1QqKyyYR6Q21VydFLVH3TRQUabQu_ym0Zz7PgGX0-kHA/edit?usp=sharing"",""แผน!EP24"")"),80)</f>
        <v>80</v>
      </c>
      <c r="J355" s="433">
        <f ca="1">J362</f>
        <v>14</v>
      </c>
      <c r="K355" s="434">
        <f ca="1">IF(I355&gt;0,J355*100/I355,0)</f>
        <v>17.5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IFERROR(__xludf.DUMMYFUNCTION("IMPORTRANGE(""https://docs.google.com/spreadsheets/d/1XWAQStnk-4SwqDmLtmXYiTMKHgktTP8We1SCoS47DrQ/edit?usp=sharing"",""จัดที่ดิน!W24"")"),64)</f>
        <v>64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IFERROR(__xludf.DUMMYFUNCTION("IMPORTRANGE(""https://docs.google.com/spreadsheets/d/1QqKyyYR6Q21VydFLVH3TRQUabQu_ym0Zz7PgGX0-kHA/edit?usp=sharing"",""แผน!EO24"")"),800)</f>
        <v>800</v>
      </c>
      <c r="J359" s="270">
        <f ca="1">IFERROR(__xludf.DUMMYFUNCTION("IMPORTRANGE(""https://docs.google.com/spreadsheets/d/1XWAQStnk-4SwqDmLtmXYiTMKHgktTP8We1SCoS47DrQ/edit?usp=sharing"",""จัดที่ดิน!X24"")"),428.219999999999)</f>
        <v>428.219999999999</v>
      </c>
      <c r="K359" s="466">
        <f t="shared" ca="1" si="161"/>
        <v>53.527499999999876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IFERROR(__xludf.DUMMYFUNCTION("IMPORTRANGE(""https://docs.google.com/spreadsheets/d/1QqKyyYR6Q21VydFLVH3TRQUabQu_ym0Zz7PgGX0-kHA/edit?usp=sharing"",""แผน!EP24"")"),80)</f>
        <v>80</v>
      </c>
      <c r="J360" s="270">
        <f ca="1">IFERROR(__xludf.DUMMYFUNCTION("IMPORTRANGE(""https://docs.google.com/spreadsheets/d/1XWAQStnk-4SwqDmLtmXYiTMKHgktTP8We1SCoS47DrQ/edit?usp=sharing"",""จัดที่ดิน!Y24"")"),55)</f>
        <v>55</v>
      </c>
      <c r="K360" s="466">
        <f t="shared" ca="1" si="161"/>
        <v>68.75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IFERROR(__xludf.DUMMYFUNCTION("IMPORTRANGE(""https://docs.google.com/spreadsheets/d/1XWAQStnk-4SwqDmLtmXYiTMKHgktTP8We1SCoS47DrQ/edit?usp=sharing"",""จัดที่ดิน!Z24"")"),339.95)</f>
        <v>339.95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IFERROR(__xludf.DUMMYFUNCTION("IMPORTRANGE(""https://docs.google.com/spreadsheets/d/1QqKyyYR6Q21VydFLVH3TRQUabQu_ym0Zz7PgGX0-kHA/edit?usp=sharing"",""แผน!EP24"")"),80)</f>
        <v>80</v>
      </c>
      <c r="J362" s="270">
        <f ca="1">IFERROR(__xludf.DUMMYFUNCTION("IMPORTRANGE(""https://docs.google.com/spreadsheets/d/1XWAQStnk-4SwqDmLtmXYiTMKHgktTP8We1SCoS47DrQ/edit?usp=sharing"",""จัดที่ดิน!AA24"")"),14)</f>
        <v>14</v>
      </c>
      <c r="K362" s="466">
        <f t="shared" ca="1" si="161"/>
        <v>17.5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IFERROR(__xludf.DUMMYFUNCTION("IMPORTRANGE(""https://docs.google.com/spreadsheets/d/1XWAQStnk-4SwqDmLtmXYiTMKHgktTP8We1SCoS47DrQ/edit?usp=sharing"",""จัดที่ดิน!AB24"")"),72.77)</f>
        <v>72.77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380</v>
      </c>
      <c r="J364" s="447">
        <f t="shared" ca="1" si="162"/>
        <v>163</v>
      </c>
      <c r="K364" s="448">
        <f t="shared" ca="1" si="161"/>
        <v>42.89473684210526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IFERROR(__xludf.DUMMYFUNCTION("IMPORTRANGE(""https://docs.google.com/spreadsheets/d/1QqKyyYR6Q21VydFLVH3TRQUabQu_ym0Zz7PgGX0-kHA/edit?usp=sharing"",""แผน!EJ24"")"),50)</f>
        <v>50</v>
      </c>
      <c r="J365" s="459">
        <f ca="1">J372</f>
        <v>3</v>
      </c>
      <c r="K365" s="460">
        <f t="shared" ca="1" si="161"/>
        <v>6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IFERROR(__xludf.DUMMYFUNCTION("IMPORTRANGE(""https://docs.google.com/spreadsheets/d/1XWAQStnk-4SwqDmLtmXYiTMKHgktTP8We1SCoS47DrQ/edit?usp=sharing"",""จัดที่ดิน!E24"")"),37)</f>
        <v>37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IFERROR(__xludf.DUMMYFUNCTION("IMPORTRANGE(""https://docs.google.com/spreadsheets/d/1QqKyyYR6Q21VydFLVH3TRQUabQu_ym0Zz7PgGX0-kHA/edit?usp=sharing"",""แผน!EI24"")"),500)</f>
        <v>500</v>
      </c>
      <c r="J369" s="270">
        <f ca="1">IFERROR(__xludf.DUMMYFUNCTION("IMPORTRANGE(""https://docs.google.com/spreadsheets/d/1XWAQStnk-4SwqDmLtmXYiTMKHgktTP8We1SCoS47DrQ/edit?usp=sharing"",""จัดที่ดิน!F24"")"),294.08)</f>
        <v>294.08</v>
      </c>
      <c r="K369" s="466">
        <f t="shared" ca="1" si="163"/>
        <v>58.816000000000003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IFERROR(__xludf.DUMMYFUNCTION("IMPORTRANGE(""https://docs.google.com/spreadsheets/d/1QqKyyYR6Q21VydFLVH3TRQUabQu_ym0Zz7PgGX0-kHA/edit?usp=sharing"",""แผน!EJ24"")"),50)</f>
        <v>50</v>
      </c>
      <c r="J370" s="270">
        <f ca="1">IFERROR(__xludf.DUMMYFUNCTION("IMPORTRANGE(""https://docs.google.com/spreadsheets/d/1XWAQStnk-4SwqDmLtmXYiTMKHgktTP8We1SCoS47DrQ/edit?usp=sharing"",""จัดที่ดิน!G24"")"),29)</f>
        <v>29</v>
      </c>
      <c r="K370" s="466">
        <f t="shared" ca="1" si="163"/>
        <v>58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IFERROR(__xludf.DUMMYFUNCTION("IMPORTRANGE(""https://docs.google.com/spreadsheets/d/1XWAQStnk-4SwqDmLtmXYiTMKHgktTP8We1SCoS47DrQ/edit?usp=sharing"",""จัดที่ดิน!H24"")"),212.37)</f>
        <v>212.37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IFERROR(__xludf.DUMMYFUNCTION("IMPORTRANGE(""https://docs.google.com/spreadsheets/d/1QqKyyYR6Q21VydFLVH3TRQUabQu_ym0Zz7PgGX0-kHA/edit?usp=sharing"",""แผน!EJ24"")"),50)</f>
        <v>50</v>
      </c>
      <c r="J372" s="270">
        <f ca="1">IFERROR(__xludf.DUMMYFUNCTION("IMPORTRANGE(""https://docs.google.com/spreadsheets/d/1XWAQStnk-4SwqDmLtmXYiTMKHgktTP8We1SCoS47DrQ/edit?usp=sharing"",""จัดที่ดิน!I24"")"),3)</f>
        <v>3</v>
      </c>
      <c r="K372" s="466">
        <f t="shared" ca="1" si="163"/>
        <v>6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IFERROR(__xludf.DUMMYFUNCTION("IMPORTRANGE(""https://docs.google.com/spreadsheets/d/1XWAQStnk-4SwqDmLtmXYiTMKHgktTP8We1SCoS47DrQ/edit?usp=sharing"",""จัดที่ดิน!J24"")"),35.11)</f>
        <v>35.11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IFERROR(__xludf.DUMMYFUNCTION("IMPORTRANGE(""https://docs.google.com/spreadsheets/d/1QqKyyYR6Q21VydFLVH3TRQUabQu_ym0Zz7PgGX0-kHA/edit?usp=sharing"",""แผน!EU24"")"),330)</f>
        <v>330</v>
      </c>
      <c r="J374" s="459">
        <f ca="1">J381</f>
        <v>160</v>
      </c>
      <c r="K374" s="460">
        <f t="shared" ca="1" si="163"/>
        <v>48.484848484848484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IFERROR(__xludf.DUMMYFUNCTION("IMPORTRANGE(""https://docs.google.com/spreadsheets/d/1XWAQStnk-4SwqDmLtmXYiTMKHgktTP8We1SCoS47DrQ/edit?usp=sharing"",""จัดที่ดิน!AH24"")"),27)</f>
        <v>27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IFERROR(__xludf.DUMMYFUNCTION("IMPORTRANGE(""https://docs.google.com/spreadsheets/d/1QqKyyYR6Q21VydFLVH3TRQUabQu_ym0Zz7PgGX0-kHA/edit?usp=sharing"",""แผน!ET24"")"),300)</f>
        <v>300</v>
      </c>
      <c r="J378" s="270">
        <f ca="1">IFERROR(__xludf.DUMMYFUNCTION("IMPORTRANGE(""https://docs.google.com/spreadsheets/d/1XWAQStnk-4SwqDmLtmXYiTMKHgktTP8We1SCoS47DrQ/edit?usp=sharing"",""จัดที่ดิน!AI24"")"),134.14)</f>
        <v>134.13999999999999</v>
      </c>
      <c r="K378" s="466">
        <f t="shared" ca="1" si="164"/>
        <v>44.713333333333324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IFERROR(__xludf.DUMMYFUNCTION("IMPORTRANGE(""https://docs.google.com/spreadsheets/d/1QqKyyYR6Q21VydFLVH3TRQUabQu_ym0Zz7PgGX0-kHA/edit?usp=sharing"",""แผน!EU24"")"),330)</f>
        <v>330</v>
      </c>
      <c r="J379" s="270">
        <f ca="1">IFERROR(__xludf.DUMMYFUNCTION("IMPORTRANGE(""https://docs.google.com/spreadsheets/d/1XWAQStnk-4SwqDmLtmXYiTMKHgktTP8We1SCoS47DrQ/edit?usp=sharing"",""จัดที่ดิน!AJ24"")"),175)</f>
        <v>175</v>
      </c>
      <c r="K379" s="466">
        <f t="shared" ca="1" si="164"/>
        <v>53.030303030303031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IFERROR(__xludf.DUMMYFUNCTION("IMPORTRANGE(""https://docs.google.com/spreadsheets/d/1XWAQStnk-4SwqDmLtmXYiTMKHgktTP8We1SCoS47DrQ/edit?usp=sharing"",""จัดที่ดิน!AK24"")"),1566.55)</f>
        <v>1566.55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IFERROR(__xludf.DUMMYFUNCTION("IMPORTRANGE(""https://docs.google.com/spreadsheets/d/1QqKyyYR6Q21VydFLVH3TRQUabQu_ym0Zz7PgGX0-kHA/edit?usp=sharing"",""แผน!EU24"")"),330)</f>
        <v>330</v>
      </c>
      <c r="J381" s="270">
        <f ca="1">IFERROR(__xludf.DUMMYFUNCTION("IMPORTRANGE(""https://docs.google.com/spreadsheets/d/1XWAQStnk-4SwqDmLtmXYiTMKHgktTP8We1SCoS47DrQ/edit?usp=sharing"",""จัดที่ดิน!AL24"")"),160)</f>
        <v>160</v>
      </c>
      <c r="K381" s="466">
        <f t="shared" ca="1" si="164"/>
        <v>48.484848484848484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IFERROR(__xludf.DUMMYFUNCTION("IMPORTRANGE(""https://docs.google.com/spreadsheets/d/1XWAQStnk-4SwqDmLtmXYiTMKHgktTP8We1SCoS47DrQ/edit?usp=sharing"",""จัดที่ดิน!AM24"")"),1476.63)</f>
        <v>1476.63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IFERROR(__xludf.DUMMYFUNCTION("IMPORTRANGE(""https://docs.google.com/spreadsheets/d/1QqKyyYR6Q21VydFLVH3TRQUabQu_ym0Zz7PgGX0-kHA/edit?usp=sharing"",""แผน!EW24"")"),20)</f>
        <v>20</v>
      </c>
      <c r="J385" s="469">
        <f ca="1">IFERROR(__xludf.DUMMYFUNCTION("IMPORTRANGE(""https://docs.google.com/spreadsheets/d/1XWAQStnk-4SwqDmLtmXYiTMKHgktTP8We1SCoS47DrQ/edit?usp=sharing"",""จัดที่ดิน!AP24"")"),0)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4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IFERROR(__xludf.DUMMYFUNCTION("IMPORTRANGE(""https://docs.google.com/spreadsheets/d/1MeEWN-I1oV_STSDYn1IFDPWt_1FKiwhDph83XaGc0o0/edit?usp=sharing"",""งบพรบ!FG24"")"),0)</f>
        <v>0</v>
      </c>
      <c r="M394" s="93">
        <f ca="1">IFERROR(__xludf.DUMMYFUNCTION("IMPORTRANGE(""https://docs.google.com/spreadsheets/d/1MeEWN-I1oV_STSDYn1IFDPWt_1FKiwhDph83XaGc0o0/edit?usp=sharing"",""งบพรบ!FL24"")"),0)</f>
        <v>0</v>
      </c>
      <c r="N394" s="93">
        <f ca="1">IFERROR(__xludf.DUMMYFUNCTION("IMPORTRANGE(""https://docs.google.com/spreadsheets/d/1MeEWN-I1oV_STSDYn1IFDPWt_1FKiwhDph83XaGc0o0/edit?usp=sharing"",""งบพรบ!FN24"")"),0)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IFERROR(__xludf.DUMMYFUNCTION("IMPORTRANGE(""https://docs.google.com/spreadsheets/d/1MeEWN-I1oV_STSDYn1IFDPWt_1FKiwhDph83XaGc0o0/edit?usp=sharing"",""งบพรบ!FJ24"")"),0)</f>
        <v>0</v>
      </c>
      <c r="M397" s="93">
        <f ca="1">IFERROR(__xludf.DUMMYFUNCTION("IMPORTRANGE(""https://docs.google.com/spreadsheets/d/1MeEWN-I1oV_STSDYn1IFDPWt_1FKiwhDph83XaGc0o0/edit?usp=sharing"",""งบพรบ!FM24"")"),0)</f>
        <v>0</v>
      </c>
      <c r="N397" s="93">
        <f ca="1">IFERROR(__xludf.DUMMYFUNCTION("IMPORTRANGE(""https://docs.google.com/spreadsheets/d/1MeEWN-I1oV_STSDYn1IFDPWt_1FKiwhDph83XaGc0o0/edit?usp=sharing"",""งบพรบ!FO24"")"),0)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4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IFERROR(__xludf.DUMMYFUNCTION("IMPORTRANGE(""https://docs.google.com/spreadsheets/d/1MeEWN-I1oV_STSDYn1IFDPWt_1FKiwhDph83XaGc0o0/edit?usp=sharing"",""งบพรบ!FQ24"")"),0)</f>
        <v>0</v>
      </c>
      <c r="M407" s="93">
        <f ca="1">IFERROR(__xludf.DUMMYFUNCTION("IMPORTRANGE(""https://docs.google.com/spreadsheets/d/1MeEWN-I1oV_STSDYn1IFDPWt_1FKiwhDph83XaGc0o0/edit?usp=sharing"",""งบพรบ!FV24"")"),0)</f>
        <v>0</v>
      </c>
      <c r="N407" s="93">
        <f ca="1">IFERROR(__xludf.DUMMYFUNCTION("IMPORTRANGE(""https://docs.google.com/spreadsheets/d/1MeEWN-I1oV_STSDYn1IFDPWt_1FKiwhDph83XaGc0o0/edit?usp=sharing"",""งบพรบ!FX24"")"),0)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IFERROR(__xludf.DUMMYFUNCTION("IMPORTRANGE(""https://docs.google.com/spreadsheets/d/1MeEWN-I1oV_STSDYn1IFDPWt_1FKiwhDph83XaGc0o0/edit?usp=sharing"",""งบพรบ!FT24"")"),0)</f>
        <v>0</v>
      </c>
      <c r="M410" s="93">
        <f ca="1">IFERROR(__xludf.DUMMYFUNCTION("IMPORTRANGE(""https://docs.google.com/spreadsheets/d/1MeEWN-I1oV_STSDYn1IFDPWt_1FKiwhDph83XaGc0o0/edit?usp=sharing"",""งบพรบ!FW24"")"),0)</f>
        <v>0</v>
      </c>
      <c r="N410" s="93">
        <f ca="1">IFERROR(__xludf.DUMMYFUNCTION("IMPORTRANGE(""https://docs.google.com/spreadsheets/d/1MeEWN-I1oV_STSDYn1IFDPWt_1FKiwhDph83XaGc0o0/edit?usp=sharing"",""งบพรบ!FY24"")"),0)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2266697</v>
      </c>
      <c r="M414" s="517">
        <f t="shared" si="181"/>
        <v>0</v>
      </c>
      <c r="N414" s="517">
        <f t="shared" si="181"/>
        <v>419947.47</v>
      </c>
      <c r="O414" s="517">
        <f ca="1">IF(L414&gt;0,N414*100/L414,0)</f>
        <v>18.526846331909383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41320</v>
      </c>
      <c r="O419" s="155">
        <f t="shared" ref="O419:O424" ca="1" si="185">IF(L419&gt;0,N419*100/L419,0)</f>
        <v>52.529875413170608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41320</v>
      </c>
      <c r="O421" s="93">
        <f t="shared" ca="1" si="185"/>
        <v>52.529875413170608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si="188"/>
        <v>0</v>
      </c>
      <c r="N422" s="466">
        <f t="shared" si="188"/>
        <v>41320</v>
      </c>
      <c r="O422" s="466">
        <f t="shared" ca="1" si="185"/>
        <v>52.529875413170608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IFERROR(__xludf.DUMMYFUNCTION("IMPORTRANGE(""https://docs.google.com/spreadsheets/d/1QqKyyYR6Q21VydFLVH3TRQUabQu_ym0Zz7PgGX0-kHA/edit?usp=sharing"",""แผน!EY24"")"),78660)</f>
        <v>78660</v>
      </c>
      <c r="M424" s="93">
        <v>0</v>
      </c>
      <c r="N424" s="93">
        <f>N425+N426+N427+N428</f>
        <v>41320</v>
      </c>
      <c r="O424" s="93">
        <f t="shared" ca="1" si="185"/>
        <v>52.529875413170608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v>38220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>
        <v>870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v>2230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20</v>
      </c>
      <c r="J433" s="648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ca="1">I438+I440</f>
        <v>1</v>
      </c>
      <c r="J434" s="648">
        <f>J438+J439</f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IFERROR(__xludf.DUMMYFUNCTION("IMPORTRANGE(""https://docs.google.com/spreadsheets/d/1QqKyyYR6Q21VydFLVH3TRQUabQu_ym0Zz7PgGX0-kHA/edit?usp=sharing"",""แผน!FC24"")"),20)</f>
        <v>20</v>
      </c>
      <c r="J435" s="549">
        <v>10</v>
      </c>
      <c r="K435" s="466">
        <f t="shared" ca="1" si="192"/>
        <v>50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IFERROR(__xludf.DUMMYFUNCTION("IMPORTRANGE(""https://docs.google.com/spreadsheets/d/1QqKyyYR6Q21VydFLVH3TRQUabQu_ym0Zz7PgGX0-kHA/edit?usp=sharing"",""แผน!FD24"")"),0)</f>
        <v>0</v>
      </c>
      <c r="J437" s="549">
        <v>0</v>
      </c>
      <c r="K437" s="466">
        <f t="shared" ref="K437:K439" ca="1" si="193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IFERROR(__xludf.DUMMYFUNCTION("IMPORTRANGE(""https://docs.google.com/spreadsheets/d/1QqKyyYR6Q21VydFLVH3TRQUabQu_ym0Zz7PgGX0-kHA/edit?usp=sharing"",""แผน!FE24"")"),0)</f>
        <v>0</v>
      </c>
      <c r="J438" s="215">
        <v>0</v>
      </c>
      <c r="K438" s="466">
        <f t="shared" ca="1" si="193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IFERROR(__xludf.DUMMYFUNCTION("IMPORTRANGE(""https://docs.google.com/spreadsheets/d/1QqKyyYR6Q21VydFLVH3TRQUabQu_ym0Zz7PgGX0-kHA/edit?usp=sharing"",""แผน!FF24"")"),20)</f>
        <v>20</v>
      </c>
      <c r="J439" s="215">
        <v>0</v>
      </c>
      <c r="K439" s="466">
        <f t="shared" ca="1" si="193"/>
        <v>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IFERROR(__xludf.DUMMYFUNCTION("IMPORTRANGE(""https://docs.google.com/spreadsheets/d/1QqKyyYR6Q21VydFLVH3TRQUabQu_ym0Zz7PgGX0-kHA/edit?usp=sharing"",""แผน!FG24"")"),1)</f>
        <v>1</v>
      </c>
      <c r="J440" s="270">
        <v>0</v>
      </c>
      <c r="K440" s="466">
        <f ca="1">IF(I440&gt;0,J439*100/I440,0)</f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IFERROR(__xludf.DUMMYFUNCTION("IMPORTRANGE(""https://docs.google.com/spreadsheets/d/1QqKyyYR6Q21VydFLVH3TRQUabQu_ym0Zz7PgGX0-kHA/edit?usp=sharing"",""แผน!FH24"")"),0)</f>
        <v>0</v>
      </c>
      <c r="J441" s="270">
        <v>0</v>
      </c>
      <c r="K441" s="466">
        <f t="shared" ref="K441:K443" ca="1" si="194">IF(I441&gt;0,J441*100/I441,0)</f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55</v>
      </c>
      <c r="J442" s="555">
        <f t="shared" si="195"/>
        <v>55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110</v>
      </c>
      <c r="J443" s="533">
        <f t="shared" si="196"/>
        <v>110</v>
      </c>
      <c r="K443" s="534">
        <f t="shared" ca="1" si="194"/>
        <v>100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365500</v>
      </c>
      <c r="M444" s="195">
        <f t="shared" si="197"/>
        <v>0</v>
      </c>
      <c r="N444" s="195">
        <f t="shared" si="197"/>
        <v>85770</v>
      </c>
      <c r="O444" s="195">
        <f t="shared" ref="O444:O449" ca="1" si="198">IF(L444&gt;0,N444*100/L444,0)</f>
        <v>23.466484268125853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0"/>
        <v>365500</v>
      </c>
      <c r="M446" s="93">
        <f t="shared" si="200"/>
        <v>0</v>
      </c>
      <c r="N446" s="93">
        <f t="shared" si="200"/>
        <v>85770</v>
      </c>
      <c r="O446" s="93">
        <f t="shared" ca="1" si="198"/>
        <v>23.466484268125853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1">L448+L449</f>
        <v>365500</v>
      </c>
      <c r="M447" s="466">
        <f t="shared" si="201"/>
        <v>0</v>
      </c>
      <c r="N447" s="466">
        <f t="shared" si="201"/>
        <v>85770</v>
      </c>
      <c r="O447" s="466">
        <f t="shared" ca="1" si="198"/>
        <v>23.466484268125853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IFERROR(__xludf.DUMMYFUNCTION("IMPORTRANGE(""https://docs.google.com/spreadsheets/d/1QqKyyYR6Q21VydFLVH3TRQUabQu_ym0Zz7PgGX0-kHA/edit?usp=sharing"",""แผน!FJ24"")"),365500)</f>
        <v>365500</v>
      </c>
      <c r="M449" s="93">
        <v>0</v>
      </c>
      <c r="N449" s="93">
        <f>N450+N451+N452+N453</f>
        <v>85770</v>
      </c>
      <c r="O449" s="93">
        <f t="shared" ca="1" si="198"/>
        <v>23.466484268125853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v>44870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v>39000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v>1900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IFERROR(__xludf.DUMMYFUNCTION("IMPORTRANGE(""https://docs.google.com/spreadsheets/d/1QqKyyYR6Q21VydFLVH3TRQUabQu_ym0Zz7PgGX0-kHA/edit?usp=sharing"",""แผน!FN24"")"),55)</f>
        <v>55</v>
      </c>
      <c r="J460" s="215">
        <v>55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IFERROR(__xludf.DUMMYFUNCTION("IMPORTRANGE(""https://docs.google.com/spreadsheets/d/1QqKyyYR6Q21VydFLVH3TRQUabQu_ym0Zz7PgGX0-kHA/edit?usp=sharing"",""แผน!FO24"")"),110)</f>
        <v>110</v>
      </c>
      <c r="J462" s="215">
        <v>110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IFERROR(__xludf.DUMMYFUNCTION("IMPORTRANGE(""https://docs.google.com/spreadsheets/d/1QqKyyYR6Q21VydFLVH3TRQUabQu_ym0Zz7PgGX0-kHA/edit?usp=sharing"",""แผน!FO24"")"),110)</f>
        <v>110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IFERROR(__xludf.DUMMYFUNCTION("IMPORTRANGE(""https://docs.google.com/spreadsheets/d/1QqKyyYR6Q21VydFLVH3TRQUabQu_ym0Zz7PgGX0-kHA/edit?usp=sharing"",""แผน!FN24"")"),55)</f>
        <v>55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IFERROR(__xludf.DUMMYFUNCTION("IMPORTRANGE(""https://docs.google.com/spreadsheets/d/1QqKyyYR6Q21VydFLVH3TRQUabQu_ym0Zz7PgGX0-kHA/edit?usp=sharing"",""แผน!FX24"")"),131)</f>
        <v>131</v>
      </c>
      <c r="J465" s="555">
        <f>J485+J489+J492</f>
        <v>131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IFERROR(__xludf.DUMMYFUNCTION("IMPORTRANGE(""https://docs.google.com/spreadsheets/d/1QqKyyYR6Q21VydFLVH3TRQUabQu_ym0Zz7PgGX0-kHA/edit?usp=sharing"",""แผน!FW24"")"),1300)</f>
        <v>1300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1170748</v>
      </c>
      <c r="M467" s="195">
        <f t="shared" si="206"/>
        <v>0</v>
      </c>
      <c r="N467" s="195">
        <f t="shared" si="206"/>
        <v>119455</v>
      </c>
      <c r="O467" s="195">
        <f t="shared" ref="O467:O472" ca="1" si="207">IF(L467&gt;0,N467*100/L467,0)</f>
        <v>10.20330592065927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09"/>
        <v>1170748</v>
      </c>
      <c r="M469" s="93">
        <f t="shared" si="209"/>
        <v>0</v>
      </c>
      <c r="N469" s="93">
        <f t="shared" si="209"/>
        <v>119455</v>
      </c>
      <c r="O469" s="93">
        <f t="shared" ca="1" si="207"/>
        <v>10.20330592065927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0">L471+L472</f>
        <v>1170748</v>
      </c>
      <c r="M470" s="466">
        <f t="shared" si="210"/>
        <v>0</v>
      </c>
      <c r="N470" s="466">
        <f t="shared" si="210"/>
        <v>119455</v>
      </c>
      <c r="O470" s="466">
        <f t="shared" ca="1" si="207"/>
        <v>10.20330592065927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IFERROR(__xludf.DUMMYFUNCTION("IMPORTRANGE(""https://docs.google.com/spreadsheets/d/1QqKyyYR6Q21VydFLVH3TRQUabQu_ym0Zz7PgGX0-kHA/edit?usp=sharing"",""แผน!FS24"")"),1170748)</f>
        <v>1170748</v>
      </c>
      <c r="M472" s="93">
        <v>0</v>
      </c>
      <c r="N472" s="93">
        <f>N473+N474+N475+N476</f>
        <v>119455</v>
      </c>
      <c r="O472" s="93">
        <f t="shared" ca="1" si="207"/>
        <v>10.20330592065927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>
        <v>72175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v>39000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v>8280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IFERROR(__xludf.DUMMYFUNCTION("IMPORTRANGE(""https://docs.google.com/spreadsheets/d/1QqKyyYR6Q21VydFLVH3TRQUabQu_ym0Zz7PgGX0-kHA/edit?usp=sharing"",""แผน!FY24"")"),1170)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IFERROR(__xludf.DUMMYFUNCTION("IMPORTRANGE(""https://docs.google.com/spreadsheets/d/1QqKyyYR6Q21VydFLVH3TRQUabQu_ym0Zz7PgGX0-kHA/edit?usp=sharing"",""แผน!FZ24"")"),117)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IFERROR(__xludf.DUMMYFUNCTION("IMPORTRANGE(""https://docs.google.com/spreadsheets/d/1QqKyyYR6Q21VydFLVH3TRQUabQu_ym0Zz7PgGX0-kHA/edit?usp=sharing"",""แผน!GA24"")"),130)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IFERROR(__xludf.DUMMYFUNCTION("IMPORTRANGE(""https://docs.google.com/spreadsheets/d/1QqKyyYR6Q21VydFLVH3TRQUabQu_ym0Zz7PgGX0-kHA/edit?usp=sharing"",""แผน!GB24"")"),13)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IFERROR(__xludf.DUMMYFUNCTION("IMPORTRANGE(""https://docs.google.com/spreadsheets/d/1QqKyyYR6Q21VydFLVH3TRQUabQu_ym0Zz7PgGX0-kHA/edit?usp=sharing"",""แผน!GC24"")"),1)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IFERROR(__xludf.DUMMYFUNCTION("IMPORTRANGE(""https://docs.google.com/spreadsheets/d/1QqKyyYR6Q21VydFLVH3TRQUabQu_ym0Zz7PgGX0-kHA/edit?usp=sharing"",""แผน!FY24"")"),1170)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IFERROR(__xludf.DUMMYFUNCTION("IMPORTRANGE(""https://docs.google.com/spreadsheets/d/1QqKyyYR6Q21VydFLVH3TRQUabQu_ym0Zz7PgGX0-kHA/edit?usp=sharing"",""แผน!GA24"")"),130)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6">L503+L504</f>
        <v>0</v>
      </c>
      <c r="M502" s="614">
        <f t="shared" si="216"/>
        <v>0</v>
      </c>
      <c r="N502" s="614">
        <f t="shared" si="216"/>
        <v>0</v>
      </c>
      <c r="O502" s="614">
        <f t="shared" ref="O502:O507" si="217">IF(L502&gt;0,N502*100/L502,0)</f>
        <v>0</v>
      </c>
      <c r="P502" s="614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6"/>
      <c r="D505" s="853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853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 hidden="1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5">I537</f>
        <v>0</v>
      </c>
      <c r="J522" s="675">
        <f t="shared" ca="1" si="225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IFERROR(__xludf.DUMMYFUNCTION("IMPORTRANGE(""https://docs.google.com/spreadsheets/d/1QqKyyYR6Q21VydFLVH3TRQUabQu_ym0Zz7PgGX0-kHA/edit?usp=sharing"",""แผน!GU24"")"),0)</f>
        <v>0</v>
      </c>
      <c r="J537" s="648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 hidden="1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IFERROR(__xludf.DUMMYFUNCTION("IMPORTRANGE(""https://docs.google.com/spreadsheets/d/1QqKyyYR6Q21VydFLVH3TRQUabQu_ym0Zz7PgGX0-kHA/edit?usp=sharing"",""แผน!GV24"")"),0)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 hidden="1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IFERROR(__xludf.DUMMYFUNCTION("IMPORTRANGE(""https://docs.google.com/spreadsheets/d/1QqKyyYR6Q21VydFLVH3TRQUabQu_ym0Zz7PgGX0-kHA/edit?usp=sharing"",""แผน!GW24"")"),0)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 hidden="1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IFERROR(__xludf.DUMMYFUNCTION("IMPORTRANGE(""https://docs.google.com/spreadsheets/d/1QqKyyYR6Q21VydFLVH3TRQUabQu_ym0Zz7PgGX0-kHA/edit?usp=sharing"",""แผน!GX24"")"),0)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 hidden="1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IFERROR(__xludf.DUMMYFUNCTION("IMPORTRANGE(""https://docs.google.com/spreadsheets/d/1QqKyyYR6Q21VydFLVH3TRQUabQu_ym0Zz7PgGX0-kHA/edit?usp=sharing"",""แผน!GY24"")"),0)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 hidden="1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IFERROR(__xludf.DUMMYFUNCTION("IMPORTRANGE(""https://docs.google.com/spreadsheets/d/1QqKyyYR6Q21VydFLVH3TRQUabQu_ym0Zz7PgGX0-kHA/edit?usp=sharing"",""แผน!GZ24"")"),0)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5">I559</f>
        <v>54558</v>
      </c>
      <c r="J543" s="654">
        <f t="shared" si="235"/>
        <v>0</v>
      </c>
      <c r="K543" s="655">
        <f t="shared" ca="1" si="234"/>
        <v>0</v>
      </c>
      <c r="L543" s="637"/>
      <c r="M543" s="637"/>
      <c r="N543" s="637"/>
      <c r="O543" s="637"/>
      <c r="P543" s="637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6">L545+L546</f>
        <v>481114</v>
      </c>
      <c r="M544" s="155">
        <f t="shared" si="236"/>
        <v>0</v>
      </c>
      <c r="N544" s="155">
        <f t="shared" si="236"/>
        <v>103784.47</v>
      </c>
      <c r="O544" s="155">
        <f t="shared" ref="O544:O549" ca="1" si="237">IF(L544&gt;0,N544*100/L544,0)</f>
        <v>21.571700262307893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39"/>
        <v>481114</v>
      </c>
      <c r="M546" s="93">
        <f t="shared" si="240"/>
        <v>0</v>
      </c>
      <c r="N546" s="93">
        <f t="shared" si="240"/>
        <v>103784.47</v>
      </c>
      <c r="O546" s="93">
        <f t="shared" ca="1" si="237"/>
        <v>21.571700262307893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1">L548+L549</f>
        <v>481114</v>
      </c>
      <c r="M547" s="466">
        <f t="shared" si="241"/>
        <v>0</v>
      </c>
      <c r="N547" s="466">
        <f t="shared" si="241"/>
        <v>103784.47</v>
      </c>
      <c r="O547" s="466">
        <f t="shared" ca="1" si="237"/>
        <v>21.571700262307893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IFERROR(__xludf.DUMMYFUNCTION("IMPORTRANGE(""https://docs.google.com/spreadsheets/d/1QqKyyYR6Q21VydFLVH3TRQUabQu_ym0Zz7PgGX0-kHA/edit?usp=sharing"",""แผน!HB24"")"),481114)</f>
        <v>481114</v>
      </c>
      <c r="M549" s="93">
        <v>0</v>
      </c>
      <c r="N549" s="93">
        <f>N550+N551+N552+N553+N554</f>
        <v>103784.47</v>
      </c>
      <c r="O549" s="93">
        <f t="shared" ca="1" si="237"/>
        <v>21.571700262307893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341"/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341">
        <f>12000+15000</f>
        <v>27000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341">
        <v>37701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341">
        <v>39083.47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5">I576</f>
        <v>54558</v>
      </c>
      <c r="J559" s="675">
        <f t="shared" si="245"/>
        <v>0</v>
      </c>
      <c r="K559" s="644">
        <f t="shared" ref="K559:K561" ca="1" si="246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9"/>
      <c r="H560" s="734" t="s">
        <v>46</v>
      </c>
      <c r="I560" s="193">
        <f ca="1">IFERROR(__xludf.DUMMYFUNCTION("IMPORTRANGE(""https://docs.google.com/spreadsheets/d/1QqKyyYR6Q21VydFLVH3TRQUabQu_ym0Zz7PgGX0-kHA/edit?usp=sharing"",""แผน!HH24"")"),54558)</f>
        <v>54558</v>
      </c>
      <c r="J560" s="193">
        <f t="shared" ref="J560:J561" si="247">J562+J564+J566</f>
        <v>54558.2</v>
      </c>
      <c r="K560" s="380">
        <f t="shared" ca="1" si="246"/>
        <v>100.00036658235273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9"/>
      <c r="H561" s="734" t="s">
        <v>34</v>
      </c>
      <c r="I561" s="193">
        <f ca="1">IFERROR(__xludf.DUMMYFUNCTION("IMPORTRANGE(""https://docs.google.com/spreadsheets/d/1QqKyyYR6Q21VydFLVH3TRQUabQu_ym0Zz7PgGX0-kHA/edit?usp=sharing"",""แผน!HG24"")"),7999)</f>
        <v>7999</v>
      </c>
      <c r="J561" s="193">
        <f t="shared" si="247"/>
        <v>7999</v>
      </c>
      <c r="K561" s="380">
        <f t="shared" ca="1" si="246"/>
        <v>100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v>43084.6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v>6613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v>11473.6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v>1386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9"/>
      <c r="H568" s="734" t="s">
        <v>46</v>
      </c>
      <c r="I568" s="193">
        <f ca="1">IFERROR(__xludf.DUMMYFUNCTION("IMPORTRANGE(""https://docs.google.com/spreadsheets/d/1QqKyyYR6Q21VydFLVH3TRQUabQu_ym0Zz7PgGX0-kHA/edit?usp=sharing"",""แผน!HH24"")"),54558)</f>
        <v>54558</v>
      </c>
      <c r="J568" s="648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9"/>
      <c r="H569" s="734" t="s">
        <v>34</v>
      </c>
      <c r="I569" s="193">
        <f ca="1">IFERROR(__xludf.DUMMYFUNCTION("IMPORTRANGE(""https://docs.google.com/spreadsheets/d/1QqKyyYR6Q21VydFLVH3TRQUabQu_ym0Zz7PgGX0-kHA/edit?usp=sharing"",""แผน!HG24"")"),7999)</f>
        <v>7999</v>
      </c>
      <c r="J569" s="648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9"/>
      <c r="H576" s="734" t="s">
        <v>46</v>
      </c>
      <c r="I576" s="193">
        <f ca="1">IFERROR(__xludf.DUMMYFUNCTION("IMPORTRANGE(""https://docs.google.com/spreadsheets/d/1QqKyyYR6Q21VydFLVH3TRQUabQu_ym0Zz7PgGX0-kHA/edit?usp=sharing"",""แผน!HH24"")"),54558)</f>
        <v>54558</v>
      </c>
      <c r="J576" s="648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9"/>
      <c r="H577" s="734" t="s">
        <v>34</v>
      </c>
      <c r="I577" s="193">
        <f ca="1">IFERROR(__xludf.DUMMYFUNCTION("IMPORTRANGE(""https://docs.google.com/spreadsheets/d/1QqKyyYR6Q21VydFLVH3TRQUabQu_ym0Zz7PgGX0-kHA/edit?usp=sharing"",""แผน!HG24"")"),7999)</f>
        <v>7999</v>
      </c>
      <c r="J577" s="648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3">I593</f>
        <v>1861.83</v>
      </c>
      <c r="J592" s="675">
        <f t="shared" si="253"/>
        <v>0</v>
      </c>
      <c r="K592" s="644">
        <f t="shared" ref="K592:K594" ca="1" si="254">IF(I592&gt;0,J592*100/I592,0)</f>
        <v>0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IFERROR(__xludf.DUMMYFUNCTION("IMPORTRANGE(""https://docs.google.com/spreadsheets/d/1QqKyyYR6Q21VydFLVH3TRQUabQu_ym0Zz7PgGX0-kHA/edit?usp=sharing"",""แผน!HJ24"")"),1861.83)</f>
        <v>1861.83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IFERROR(__xludf.DUMMYFUNCTION("IMPORTRANGE(""https://docs.google.com/spreadsheets/d/1QqKyyYR6Q21VydFLVH3TRQUabQu_ym0Zz7PgGX0-kHA/edit?usp=sharing"",""แผน!HI24"")"),313)</f>
        <v>313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8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59">J614+J616</f>
        <v>0</v>
      </c>
      <c r="K612" s="684">
        <f t="shared" si="258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59"/>
        <v>0</v>
      </c>
      <c r="K613" s="684">
        <f t="shared" si="258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IFERROR(__xludf.DUMMYFUNCTION("IMPORTRANGE(""https://docs.google.com/spreadsheets/d/1QqKyyYR6Q21VydFLVH3TRQUabQu_ym0Zz7PgGX0-kHA/edit?usp=sharing"",""แผน!HL24"")"),57)</f>
        <v>57</v>
      </c>
      <c r="J620" s="695">
        <f t="shared" ref="J620:J621" si="260">J622+J624+J626</f>
        <v>0</v>
      </c>
      <c r="K620" s="696">
        <f t="shared" ref="K620:K621" ca="1" si="261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IFERROR(__xludf.DUMMYFUNCTION("IMPORTRANGE(""https://docs.google.com/spreadsheets/d/1QqKyyYR6Q21VydFLVH3TRQUabQu_ym0Zz7PgGX0-kHA/edit?usp=sharing"",""แผน!HK24"")"),12)</f>
        <v>12</v>
      </c>
      <c r="J621" s="695">
        <f t="shared" si="260"/>
        <v>0</v>
      </c>
      <c r="K621" s="696">
        <f t="shared" ca="1" si="261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262">I651</f>
        <v>25</v>
      </c>
      <c r="J628" s="708">
        <f t="shared" ca="1" si="262"/>
        <v>0</v>
      </c>
      <c r="K628" s="709">
        <f ca="1">IF(I628&gt;0,J628*100/I628,0)</f>
        <v>0</v>
      </c>
      <c r="L628" s="710"/>
      <c r="M628" s="710"/>
      <c r="N628" s="710"/>
      <c r="O628" s="710"/>
      <c r="P628" s="710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170675</v>
      </c>
      <c r="M629" s="195">
        <f t="shared" si="263"/>
        <v>0</v>
      </c>
      <c r="N629" s="195">
        <f t="shared" si="263"/>
        <v>69618</v>
      </c>
      <c r="O629" s="195">
        <f t="shared" ref="O629:O634" ca="1" si="264">IF(L629&gt;0,N629*100/L629,0)</f>
        <v>40.789805185293687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6"/>
        <v>170675</v>
      </c>
      <c r="M631" s="93">
        <f t="shared" si="266"/>
        <v>0</v>
      </c>
      <c r="N631" s="93">
        <f t="shared" si="266"/>
        <v>69618</v>
      </c>
      <c r="O631" s="93">
        <f t="shared" ca="1" si="264"/>
        <v>40.789805185293687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7">L633+L634</f>
        <v>170675</v>
      </c>
      <c r="M632" s="466">
        <f t="shared" si="267"/>
        <v>0</v>
      </c>
      <c r="N632" s="466">
        <f t="shared" si="267"/>
        <v>69618</v>
      </c>
      <c r="O632" s="466">
        <f t="shared" ca="1" si="264"/>
        <v>40.789805185293687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IFERROR(__xludf.DUMMYFUNCTION("IMPORTRANGE(""https://docs.google.com/spreadsheets/d/1QqKyyYR6Q21VydFLVH3TRQUabQu_ym0Zz7PgGX0-kHA/edit?usp=sharing"",""แผน!HN24"")"),170675)</f>
        <v>170675</v>
      </c>
      <c r="M634" s="93">
        <v>0</v>
      </c>
      <c r="N634" s="93">
        <f>N635+N636+N637+N638</f>
        <v>69618</v>
      </c>
      <c r="O634" s="93">
        <f t="shared" ca="1" si="264"/>
        <v>40.789805185293687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v>69618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IFERROR(__xludf.DUMMYFUNCTION("IMPORTRANGE(""https://docs.google.com/spreadsheets/d/1QqKyyYR6Q21VydFLVH3TRQUabQu_ym0Zz7PgGX0-kHA/edit?usp=sharing"",""แผน!HR24"")"),0)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IFERROR(__xludf.DUMMYFUNCTION("IMPORTRANGE(""https://docs.google.com/spreadsheets/d/1QqKyyYR6Q21VydFLVH3TRQUabQu_ym0Zz7PgGX0-kHA/edit?usp=sharing"",""แผน!HR24"")"),0)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IFERROR(__xludf.DUMMYFUNCTION("IMPORTRANGE(""https://docs.google.com/spreadsheets/d/1XWAQStnk-4SwqDmLtmXYiTMKHgktTP8We1SCoS47DrQ/edit?usp=sharing"",""จัดที่ดิน!AS24"")"),0)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IFERROR(__xludf.DUMMYFUNCTION("IMPORTRANGE(""https://docs.google.com/spreadsheets/d/1XWAQStnk-4SwqDmLtmXYiTMKHgktTP8We1SCoS47DrQ/edit?usp=sharing"",""จัดที่ดิน!AT24"")"),0)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IFERROR(__xludf.DUMMYFUNCTION("IMPORTRANGE(""https://docs.google.com/spreadsheets/d/1QqKyyYR6Q21VydFLVH3TRQUabQu_ym0Zz7PgGX0-kHA/edit?usp=sharing"",""แผน!HS24"")"),25)</f>
        <v>25</v>
      </c>
      <c r="J647" s="270">
        <f ca="1">IFERROR(__xludf.DUMMYFUNCTION("IMPORTRANGE(""https://docs.google.com/spreadsheets/d/1XWAQStnk-4SwqDmLtmXYiTMKHgktTP8We1SCoS47DrQ/edit?usp=sharing"",""จัดที่ดิน!AU24"")"),0)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IFERROR(__xludf.DUMMYFUNCTION("IMPORTRANGE(""https://docs.google.com/spreadsheets/d/1XWAQStnk-4SwqDmLtmXYiTMKHgktTP8We1SCoS47DrQ/edit?usp=sharing"",""จัดที่ดิน!AV24"")"),0)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IFERROR(__xludf.DUMMYFUNCTION("IMPORTRANGE(""https://docs.google.com/spreadsheets/d/1QqKyyYR6Q21VydFLVH3TRQUabQu_ym0Zz7PgGX0-kHA/edit?usp=sharing"",""แผน!HS24"")"),25)</f>
        <v>25</v>
      </c>
      <c r="J649" s="270">
        <f ca="1">IFERROR(__xludf.DUMMYFUNCTION("IMPORTRANGE(""https://docs.google.com/spreadsheets/d/1XWAQStnk-4SwqDmLtmXYiTMKHgktTP8We1SCoS47DrQ/edit?usp=sharing"",""จัดที่ดิน!AW24"")"),0)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IFERROR(__xludf.DUMMYFUNCTION("IMPORTRANGE(""https://docs.google.com/spreadsheets/d/1XWAQStnk-4SwqDmLtmXYiTMKHgktTP8We1SCoS47DrQ/edit?usp=sharing"",""จัดที่ดิน!AX24"")"),0)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IFERROR(__xludf.DUMMYFUNCTION("IMPORTRANGE(""https://docs.google.com/spreadsheets/d/1QqKyyYR6Q21VydFLVH3TRQUabQu_ym0Zz7PgGX0-kHA/edit?usp=sharing"",""แผน!HS24"")"),25)</f>
        <v>25</v>
      </c>
      <c r="J651" s="270">
        <f ca="1">IFERROR(__xludf.DUMMYFUNCTION("IMPORTRANGE(""https://docs.google.com/spreadsheets/d/1XWAQStnk-4SwqDmLtmXYiTMKHgktTP8We1SCoS47DrQ/edit?usp=sharing"",""จัดที่ดิน!AY24"")"),0)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IFERROR(__xludf.DUMMYFUNCTION("IMPORTRANGE(""https://docs.google.com/spreadsheets/d/1XWAQStnk-4SwqDmLtmXYiTMKHgktTP8We1SCoS47DrQ/edit?usp=sharing"",""จัดที่ดิน!AZ24"")"),0)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 hidden="1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 hidden="1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2">I669</f>
        <v>0</v>
      </c>
      <c r="J654" s="675">
        <f t="shared" si="27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 hidden="1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 hidden="1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IFERROR(__xludf.DUMMYFUNCTION("IMPORTRANGE(""https://docs.google.com/spreadsheets/d/1QqKyyYR6Q21VydFLVH3TRQUabQu_ym0Zz7PgGX0-kHA/edit?usp=sharing"",""แผน!HV24"")"),0)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 hidden="1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 hidden="1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 hidden="1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 hidden="1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 hidden="1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 hidden="1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 hidden="1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IFERROR(__xludf.DUMMYFUNCTION("IMPORTRANGE(""https://docs.google.com/spreadsheets/d/1QqKyyYR6Q21VydFLVH3TRQUabQu_ym0Zz7PgGX0-kHA/edit?usp=sharing"",""แผน!IA24"")"),0)</f>
        <v>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 hidden="1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IFERROR(__xludf.DUMMYFUNCTION("IMPORTRANGE(""https://docs.google.com/spreadsheets/d/1QqKyyYR6Q21VydFLVH3TRQUabQu_ym0Zz7PgGX0-kHA/edit?usp=sharing"",""แผน!HZ24"")"),0)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 hidden="1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IFERROR(__xludf.DUMMYFUNCTION("IMPORTRANGE(""https://docs.google.com/spreadsheets/d/1QqKyyYR6Q21VydFLVH3TRQUabQu_ym0Zz7PgGX0-kHA/edit?usp=sharing"",""แผน!HZ24"")"),0)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 hidden="1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 hidden="1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 hidden="1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 hidden="1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 hidden="1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 hidden="1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 hidden="1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IFERROR(__xludf.DUMMYFUNCTION("IMPORTRANGE(""https://docs.google.com/spreadsheets/d/1QqKyyYR6Q21VydFLVH3TRQUabQu_ym0Zz7PgGX0-kHA/edit?usp=sharing"",""แผน!IB24"")"),0)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 hidden="1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 hidden="1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 hidden="1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 hidden="1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 hidden="1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 hidden="1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 hidden="1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 hidden="1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 hidden="1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 hidden="1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 hidden="1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 hidden="1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 hidden="1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 hidden="1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 hidden="1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IFERROR(__xludf.DUMMYFUNCTION("IMPORTRANGE(""https://docs.google.com/spreadsheets/d/1QqKyyYR6Q21VydFLVH3TRQUabQu_ym0Zz7PgGX0-kHA/edit?usp=sharing"",""แผน!IC24"")"),0)</f>
        <v>0</v>
      </c>
      <c r="J699" s="270">
        <f ca="1">IFERROR(__xludf.DUMMYFUNCTION("IMPORTRANGE(""https://docs.google.com/spreadsheets/d/1XWAQStnk-4SwqDmLtmXYiTMKHgktTP8We1SCoS47DrQ/edit?usp=sharing"",""จัดที่ดิน!BB24"")"),0)</f>
        <v>0</v>
      </c>
      <c r="K699" s="466">
        <f t="shared" ref="K699:K701" ca="1" si="290">IF(I699&gt;0,J699*100/I699,0)</f>
        <v>0</v>
      </c>
      <c r="L699" s="466"/>
      <c r="M699" s="189"/>
      <c r="N699" s="733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 hidden="1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IFERROR(__xludf.DUMMYFUNCTION("IMPORTRANGE(""https://docs.google.com/spreadsheets/d/1QqKyyYR6Q21VydFLVH3TRQUabQu_ym0Zz7PgGX0-kHA/edit?usp=sharing"",""แผน!ID24"")"),0)</f>
        <v>0</v>
      </c>
      <c r="J700" s="270">
        <f ca="1">IFERROR(__xludf.DUMMYFUNCTION("IMPORTRANGE(""https://docs.google.com/spreadsheets/d/1XWAQStnk-4SwqDmLtmXYiTMKHgktTP8We1SCoS47DrQ/edit?usp=sharing"",""จัดที่ดิน!BD24"")"),0)</f>
        <v>0</v>
      </c>
      <c r="K700" s="466">
        <f t="shared" ca="1" si="290"/>
        <v>0</v>
      </c>
      <c r="L700" s="466"/>
      <c r="M700" s="189"/>
      <c r="N700" s="733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 hidden="1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IFERROR(__xludf.DUMMYFUNCTION("IMPORTRANGE(""https://docs.google.com/spreadsheets/d/1QqKyyYR6Q21VydFLVH3TRQUabQu_ym0Zz7PgGX0-kHA/edit?usp=sharing"",""แผน!IE24"")"),0)</f>
        <v>0</v>
      </c>
      <c r="J701" s="648">
        <f>J704+J707</f>
        <v>0</v>
      </c>
      <c r="K701" s="195">
        <f t="shared" ca="1" si="290"/>
        <v>0</v>
      </c>
      <c r="L701" s="466"/>
      <c r="M701" s="189"/>
      <c r="N701" s="733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 hidden="1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 hidden="1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 hidden="1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IFERROR(__xludf.DUMMYFUNCTION("IMPORTRANGE(""https://docs.google.com/spreadsheets/d/1QqKyyYR6Q21VydFLVH3TRQUabQu_ym0Zz7PgGX0-kHA/edit?usp=sharing"",""แผน!IF24"")"),0)</f>
        <v>0</v>
      </c>
      <c r="J704" s="215">
        <v>0</v>
      </c>
      <c r="K704" s="466"/>
      <c r="L704" s="466"/>
      <c r="M704" s="189"/>
      <c r="N704" s="733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 hidden="1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0</v>
      </c>
      <c r="K705" s="466"/>
      <c r="L705" s="466"/>
      <c r="M705" s="189"/>
      <c r="N705" s="733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 hidden="1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0</v>
      </c>
      <c r="K706" s="466"/>
      <c r="L706" s="466"/>
      <c r="M706" s="189"/>
      <c r="N706" s="733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 hidden="1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IFERROR(__xludf.DUMMYFUNCTION("IMPORTRANGE(""https://docs.google.com/spreadsheets/d/1QqKyyYR6Q21VydFLVH3TRQUabQu_ym0Zz7PgGX0-kHA/edit?usp=sharing"",""แผน!IG24"")"),0)</f>
        <v>0</v>
      </c>
      <c r="J707" s="215">
        <v>0</v>
      </c>
      <c r="K707" s="466"/>
      <c r="L707" s="466"/>
      <c r="M707" s="189"/>
      <c r="N707" s="733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 hidden="1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IFERROR(__xludf.DUMMYFUNCTION("IMPORTRANGE(""https://docs.google.com/spreadsheets/d/1QqKyyYR6Q21VydFLVH3TRQUabQu_ym0Zz7PgGX0-kHA/edit?usp=sharing"",""แผน!IH24"")"),0)</f>
        <v>0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 hidden="1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 hidden="1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 hidden="1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 hidden="1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 hidden="1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 hidden="1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 hidden="1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 hidden="1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 hidden="1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 hidden="1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IFERROR(__xludf.DUMMYFUNCTION("IMPORTRANGE(""https://docs.google.com/spreadsheets/d/1XWAQStnk-4SwqDmLtmXYiTMKHgktTP8We1SCoS47DrQ/edit?usp=sharing"",""จัดที่ดิน!BF24"")"),0)</f>
        <v>0</v>
      </c>
      <c r="K718" s="466"/>
      <c r="L718" s="466"/>
      <c r="M718" s="189"/>
      <c r="N718" s="733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 hidden="1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IFERROR(__xludf.DUMMYFUNCTION("IMPORTRANGE(""https://docs.google.com/spreadsheets/d/1XWAQStnk-4SwqDmLtmXYiTMKHgktTP8We1SCoS47DrQ/edit?usp=sharing"",""จัดที่ดิน!BG24"")"),0)</f>
        <v>0</v>
      </c>
      <c r="K719" s="466"/>
      <c r="L719" s="733"/>
      <c r="M719" s="189"/>
      <c r="N719" s="733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 hidden="1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IFERROR(__xludf.DUMMYFUNCTION("IMPORTRANGE(""https://docs.google.com/spreadsheets/d/1QqKyyYR6Q21VydFLVH3TRQUabQu_ym0Zz7PgGX0-kHA/edit?usp=sharing"",""แผน!II24"")"),0)</f>
        <v>0</v>
      </c>
      <c r="J720" s="270">
        <f ca="1">IFERROR(__xludf.DUMMYFUNCTION("IMPORTRANGE(""https://docs.google.com/spreadsheets/d/1XWAQStnk-4SwqDmLtmXYiTMKHgktTP8We1SCoS47DrQ/edit?usp=sharing"",""จัดที่ดิน!BH24"")"),0)</f>
        <v>0</v>
      </c>
      <c r="K720" s="466">
        <f t="shared" ref="K720:K723" ca="1" si="291">IF(I720&gt;0,J720*100/I720,0)</f>
        <v>0</v>
      </c>
      <c r="L720" s="733"/>
      <c r="M720" s="189"/>
      <c r="N720" s="733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 hidden="1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IFERROR(__xludf.DUMMYFUNCTION("IMPORTRANGE(""https://docs.google.com/spreadsheets/d/1QqKyyYR6Q21VydFLVH3TRQUabQu_ym0Zz7PgGX0-kHA/edit?usp=sharing"",""แผน!IJ24"")"),0)</f>
        <v>0</v>
      </c>
      <c r="J721" s="648">
        <f ca="1">J723+J726</f>
        <v>0</v>
      </c>
      <c r="K721" s="195">
        <f t="shared" ca="1" si="291"/>
        <v>0</v>
      </c>
      <c r="L721" s="733"/>
      <c r="M721" s="189"/>
      <c r="N721" s="733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 hidden="1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IFERROR(__xludf.DUMMYFUNCTION("IMPORTRANGE(""https://docs.google.com/spreadsheets/d/1QqKyyYR6Q21VydFLVH3TRQUabQu_ym0Zz7PgGX0-kHA/edit?usp=sharing"",""แผน!IK24"")"),0)</f>
        <v>0</v>
      </c>
      <c r="J722" s="648">
        <f ca="1">J725+J728</f>
        <v>0</v>
      </c>
      <c r="K722" s="195">
        <f t="shared" ca="1" si="291"/>
        <v>0</v>
      </c>
      <c r="L722" s="466"/>
      <c r="M722" s="189"/>
      <c r="N722" s="733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 hidden="1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IFERROR(__xludf.DUMMYFUNCTION("IMPORTRANGE(""https://docs.google.com/spreadsheets/d/1QqKyyYR6Q21VydFLVH3TRQUabQu_ym0Zz7PgGX0-kHA/edit?usp=sharing"",""แผน!IL24"")"),0)</f>
        <v>0</v>
      </c>
      <c r="J723" s="270">
        <f ca="1">IFERROR(__xludf.DUMMYFUNCTION("IMPORTRANGE(""https://docs.google.com/spreadsheets/d/1XWAQStnk-4SwqDmLtmXYiTMKHgktTP8We1SCoS47DrQ/edit?usp=sharing"",""จัดที่ดิน!BM24"")"),0)</f>
        <v>0</v>
      </c>
      <c r="K723" s="466">
        <f t="shared" ca="1" si="291"/>
        <v>0</v>
      </c>
      <c r="L723" s="466"/>
      <c r="M723" s="189"/>
      <c r="N723" s="733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 hidden="1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IFERROR(__xludf.DUMMYFUNCTION("IMPORTRANGE(""https://docs.google.com/spreadsheets/d/1XWAQStnk-4SwqDmLtmXYiTMKHgktTP8We1SCoS47DrQ/edit?usp=sharing"",""จัดที่ดิน!BN24"")"),0)</f>
        <v>0</v>
      </c>
      <c r="K724" s="466"/>
      <c r="L724" s="733"/>
      <c r="M724" s="189"/>
      <c r="N724" s="733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 hidden="1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IFERROR(__xludf.DUMMYFUNCTION("IMPORTRANGE(""https://docs.google.com/spreadsheets/d/1QqKyyYR6Q21VydFLVH3TRQUabQu_ym0Zz7PgGX0-kHA/edit?usp=sharing"",""แผน!IM24"")"),0)</f>
        <v>0</v>
      </c>
      <c r="J725" s="270">
        <f ca="1">IFERROR(__xludf.DUMMYFUNCTION("IMPORTRANGE(""https://docs.google.com/spreadsheets/d/1XWAQStnk-4SwqDmLtmXYiTMKHgktTP8We1SCoS47DrQ/edit?usp=sharing"",""จัดที่ดิน!BO24"")"),0)</f>
        <v>0</v>
      </c>
      <c r="K725" s="466">
        <f t="shared" ref="K725:K726" ca="1" si="292">IF(I725&gt;0,J725*100/I725,0)</f>
        <v>0</v>
      </c>
      <c r="L725" s="733"/>
      <c r="M725" s="189"/>
      <c r="N725" s="733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 hidden="1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IFERROR(__xludf.DUMMYFUNCTION("IMPORTRANGE(""https://docs.google.com/spreadsheets/d/1QqKyyYR6Q21VydFLVH3TRQUabQu_ym0Zz7PgGX0-kHA/edit?usp=sharing"",""แผน!IN24"")"),0)</f>
        <v>0</v>
      </c>
      <c r="J726" s="270">
        <f ca="1">IFERROR(__xludf.DUMMYFUNCTION("IMPORTRANGE(""https://docs.google.com/spreadsheets/d/1XWAQStnk-4SwqDmLtmXYiTMKHgktTP8We1SCoS47DrQ/edit?usp=sharing"",""จัดที่ดิน!BR24"")"),0)</f>
        <v>0</v>
      </c>
      <c r="K726" s="466">
        <f t="shared" ca="1" si="292"/>
        <v>0</v>
      </c>
      <c r="L726" s="466"/>
      <c r="M726" s="189"/>
      <c r="N726" s="733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 hidden="1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IFERROR(__xludf.DUMMYFUNCTION("IMPORTRANGE(""https://docs.google.com/spreadsheets/d/1XWAQStnk-4SwqDmLtmXYiTMKHgktTP8We1SCoS47DrQ/edit?usp=sharing"",""จัดที่ดิน!BS24"")"),0)</f>
        <v>0</v>
      </c>
      <c r="K727" s="466"/>
      <c r="L727" s="733"/>
      <c r="M727" s="189"/>
      <c r="N727" s="733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 hidden="1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IFERROR(__xludf.DUMMYFUNCTION("IMPORTRANGE(""https://docs.google.com/spreadsheets/d/1QqKyyYR6Q21VydFLVH3TRQUabQu_ym0Zz7PgGX0-kHA/edit?usp=sharing"",""แผน!IO24"")"),0)</f>
        <v>0</v>
      </c>
      <c r="J728" s="270">
        <f ca="1">IFERROR(__xludf.DUMMYFUNCTION("IMPORTRANGE(""https://docs.google.com/spreadsheets/d/1XWAQStnk-4SwqDmLtmXYiTMKHgktTP8We1SCoS47DrQ/edit?usp=sharing"",""จัดที่ดิน!BT24"")"),0)</f>
        <v>0</v>
      </c>
      <c r="K728" s="466">
        <f t="shared" ref="K728:K729" ca="1" si="293">IF(I728&gt;0,J728*100/I728,0)</f>
        <v>0</v>
      </c>
      <c r="L728" s="733"/>
      <c r="M728" s="189"/>
      <c r="N728" s="733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 hidden="1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IFERROR(__xludf.DUMMYFUNCTION("IMPORTRANGE(""https://docs.google.com/spreadsheets/d/1QqKyyYR6Q21VydFLVH3TRQUabQu_ym0Zz7PgGX0-kHA/edit?usp=sharing"",""แผน!IP24"")"),0)</f>
        <v>0</v>
      </c>
      <c r="J729" s="648">
        <f>J732+J735</f>
        <v>0</v>
      </c>
      <c r="K729" s="195">
        <f t="shared" ca="1" si="293"/>
        <v>0</v>
      </c>
      <c r="L729" s="466"/>
      <c r="M729" s="189"/>
      <c r="N729" s="733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 hidden="1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0</v>
      </c>
      <c r="K730" s="466"/>
      <c r="L730" s="733"/>
      <c r="M730" s="466"/>
      <c r="N730" s="733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 hidden="1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0</v>
      </c>
      <c r="K731" s="466"/>
      <c r="L731" s="733"/>
      <c r="M731" s="466"/>
      <c r="N731" s="733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 hidden="1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0</v>
      </c>
      <c r="K732" s="466"/>
      <c r="L732" s="733"/>
      <c r="M732" s="466"/>
      <c r="N732" s="733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 hidden="1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0</v>
      </c>
      <c r="K733" s="466"/>
      <c r="L733" s="733"/>
      <c r="M733" s="466"/>
      <c r="N733" s="733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 hidden="1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0</v>
      </c>
      <c r="K734" s="466"/>
      <c r="L734" s="733"/>
      <c r="M734" s="466"/>
      <c r="N734" s="733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 hidden="1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0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4">L738+L739</f>
        <v>0</v>
      </c>
      <c r="M737" s="614">
        <f t="shared" si="294"/>
        <v>0</v>
      </c>
      <c r="N737" s="614">
        <f t="shared" si="294"/>
        <v>0</v>
      </c>
      <c r="O737" s="614">
        <f t="shared" ref="O737:O742" si="295">IF(L737&gt;0,N737*100/L737,0)</f>
        <v>0</v>
      </c>
      <c r="P737" s="614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6"/>
      <c r="D740" s="805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8">L741+L742</f>
        <v>0</v>
      </c>
      <c r="M740" s="614">
        <f t="shared" si="298"/>
        <v>0</v>
      </c>
      <c r="N740" s="614">
        <f t="shared" si="298"/>
        <v>0</v>
      </c>
      <c r="O740" s="614">
        <f t="shared" si="295"/>
        <v>0</v>
      </c>
      <c r="P740" s="614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6"/>
      <c r="D747" s="805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299">L748+L749</f>
        <v>0</v>
      </c>
      <c r="M747" s="614">
        <f t="shared" si="299"/>
        <v>0</v>
      </c>
      <c r="N747" s="614">
        <f t="shared" si="299"/>
        <v>0</v>
      </c>
      <c r="O747" s="614">
        <f t="shared" ref="O747:O749" si="300">IF(L747&gt;0,N747*100/L747,0)</f>
        <v>0</v>
      </c>
      <c r="P747" s="614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2">L755+L756</f>
        <v>0</v>
      </c>
      <c r="M754" s="614">
        <f t="shared" si="302"/>
        <v>0</v>
      </c>
      <c r="N754" s="614">
        <f t="shared" si="302"/>
        <v>0</v>
      </c>
      <c r="O754" s="614">
        <f t="shared" ref="O754:O759" si="303">IF(L754&gt;0,N754*100/L754,0)</f>
        <v>0</v>
      </c>
      <c r="P754" s="614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6"/>
      <c r="D757" s="805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6">L758+L759</f>
        <v>0</v>
      </c>
      <c r="M757" s="614">
        <f t="shared" si="306"/>
        <v>0</v>
      </c>
      <c r="N757" s="614">
        <f t="shared" si="306"/>
        <v>0</v>
      </c>
      <c r="O757" s="614">
        <f t="shared" si="303"/>
        <v>0</v>
      </c>
      <c r="P757" s="614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6"/>
      <c r="D764" s="805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7">L765+L766</f>
        <v>0</v>
      </c>
      <c r="M764" s="614">
        <f t="shared" si="307"/>
        <v>0</v>
      </c>
      <c r="N764" s="614">
        <f t="shared" si="307"/>
        <v>0</v>
      </c>
      <c r="O764" s="614">
        <f t="shared" ref="O764:O766" si="308">IF(L764&gt;0,N764*100/L764,0)</f>
        <v>0</v>
      </c>
      <c r="P764" s="614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0">L771+L772</f>
        <v>0</v>
      </c>
      <c r="M770" s="614">
        <f t="shared" si="310"/>
        <v>0</v>
      </c>
      <c r="N770" s="614">
        <f t="shared" si="310"/>
        <v>0</v>
      </c>
      <c r="O770" s="614">
        <f t="shared" ref="O770:O775" si="311">IF(L770&gt;0,N770*100/L770,0)</f>
        <v>0</v>
      </c>
      <c r="P770" s="614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6"/>
      <c r="D773" s="805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4">L774+L775</f>
        <v>0</v>
      </c>
      <c r="M773" s="614">
        <f t="shared" si="314"/>
        <v>0</v>
      </c>
      <c r="N773" s="614">
        <f t="shared" si="314"/>
        <v>0</v>
      </c>
      <c r="O773" s="614">
        <f t="shared" si="311"/>
        <v>0</v>
      </c>
      <c r="P773" s="614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6"/>
      <c r="D780" s="805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5">L781+L782</f>
        <v>0</v>
      </c>
      <c r="M780" s="614">
        <f t="shared" si="315"/>
        <v>0</v>
      </c>
      <c r="N780" s="614">
        <f t="shared" si="315"/>
        <v>0</v>
      </c>
      <c r="O780" s="614">
        <f t="shared" ref="O780:O782" si="316">IF(L780&gt;0,N780*100/L780,0)</f>
        <v>0</v>
      </c>
      <c r="P780" s="614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 hidden="1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773" t="s">
        <v>46</v>
      </c>
      <c r="I785" s="863">
        <f t="shared" ref="I785:J785" ca="1" si="318">I800</f>
        <v>0</v>
      </c>
      <c r="J785" s="774">
        <f t="shared" ca="1" si="318"/>
        <v>0</v>
      </c>
      <c r="K785" s="775">
        <f ca="1">IF(I785&gt;0,J785*100/I785,0)</f>
        <v>0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 hidden="1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563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6"/>
      <c r="D787" s="687"/>
      <c r="E787" s="726" t="s">
        <v>184</v>
      </c>
      <c r="F787" s="726"/>
      <c r="G787" s="568"/>
      <c r="H787" s="165" t="s">
        <v>12</v>
      </c>
      <c r="I787" s="584"/>
      <c r="J787" s="584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6" t="s">
        <v>185</v>
      </c>
      <c r="F788" s="726"/>
      <c r="G788" s="568"/>
      <c r="H788" s="165" t="s">
        <v>12</v>
      </c>
      <c r="I788" s="584"/>
      <c r="J788" s="584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 hidden="1">
      <c r="A789" s="562"/>
      <c r="B789" s="539"/>
      <c r="C789" s="539"/>
      <c r="D789" s="571" t="s">
        <v>20</v>
      </c>
      <c r="E789" s="730"/>
      <c r="F789" s="730"/>
      <c r="G789" s="189"/>
      <c r="H789" s="779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6" t="s">
        <v>184</v>
      </c>
      <c r="F790" s="726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6" t="s">
        <v>185</v>
      </c>
      <c r="F791" s="726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IFERROR(__xludf.DUMMYFUNCTION("IMPORTRANGE(""https://docs.google.com/spreadsheets/d/1QqKyyYR6Q21VydFLVH3TRQUabQu_ym0Zz7PgGX0-kHA/edit?usp=sharing"",""แผน!JJ24"")"),0)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 hidden="1">
      <c r="A792" s="538"/>
      <c r="B792" s="539"/>
      <c r="C792" s="730"/>
      <c r="D792" s="730"/>
      <c r="E792" s="730"/>
      <c r="F792" s="730" t="s">
        <v>186</v>
      </c>
      <c r="G792" s="189"/>
      <c r="H792" s="779" t="s">
        <v>12</v>
      </c>
      <c r="I792" s="270"/>
      <c r="J792" s="270"/>
      <c r="K792" s="466"/>
      <c r="L792" s="466"/>
      <c r="M792" s="466"/>
      <c r="N792" s="801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 hidden="1">
      <c r="A793" s="538"/>
      <c r="B793" s="539"/>
      <c r="C793" s="730"/>
      <c r="D793" s="730"/>
      <c r="E793" s="730"/>
      <c r="F793" s="730" t="s">
        <v>187</v>
      </c>
      <c r="G793" s="189"/>
      <c r="H793" s="779" t="s">
        <v>12</v>
      </c>
      <c r="I793" s="270"/>
      <c r="J793" s="270"/>
      <c r="K793" s="466"/>
      <c r="L793" s="466"/>
      <c r="M793" s="466"/>
      <c r="N793" s="801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 hidden="1">
      <c r="A794" s="538"/>
      <c r="B794" s="539"/>
      <c r="C794" s="730"/>
      <c r="D794" s="730"/>
      <c r="E794" s="730"/>
      <c r="F794" s="730" t="s">
        <v>188</v>
      </c>
      <c r="G794" s="189"/>
      <c r="H794" s="779" t="s">
        <v>12</v>
      </c>
      <c r="I794" s="270"/>
      <c r="J794" s="270"/>
      <c r="K794" s="466"/>
      <c r="L794" s="466"/>
      <c r="M794" s="466"/>
      <c r="N794" s="801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 hidden="1">
      <c r="A795" s="538"/>
      <c r="B795" s="539"/>
      <c r="C795" s="730"/>
      <c r="D795" s="730"/>
      <c r="E795" s="730"/>
      <c r="F795" s="730" t="s">
        <v>189</v>
      </c>
      <c r="G795" s="189"/>
      <c r="H795" s="779" t="s">
        <v>12</v>
      </c>
      <c r="I795" s="270"/>
      <c r="J795" s="270"/>
      <c r="K795" s="466"/>
      <c r="L795" s="466"/>
      <c r="M795" s="466"/>
      <c r="N795" s="801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 hidden="1">
      <c r="A796" s="562"/>
      <c r="B796" s="539"/>
      <c r="C796" s="730"/>
      <c r="D796" s="571" t="s">
        <v>21</v>
      </c>
      <c r="E796" s="730"/>
      <c r="F796" s="730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6"/>
      <c r="D797" s="726"/>
      <c r="E797" s="726" t="s">
        <v>18</v>
      </c>
      <c r="F797" s="726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6"/>
      <c r="D798" s="726"/>
      <c r="E798" s="726" t="s">
        <v>19</v>
      </c>
      <c r="F798" s="726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 hidden="1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777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 hidden="1">
      <c r="A800" s="573"/>
      <c r="B800" s="585"/>
      <c r="C800" s="585"/>
      <c r="D800" s="585"/>
      <c r="E800" s="593"/>
      <c r="F800" s="593" t="s">
        <v>320</v>
      </c>
      <c r="G800" s="729"/>
      <c r="H800" s="778" t="s">
        <v>46</v>
      </c>
      <c r="I800" s="184">
        <f ca="1">IFERROR(__xludf.DUMMYFUNCTION("IMPORTRANGE(""https://docs.google.com/spreadsheets/d/1QqKyyYR6Q21VydFLVH3TRQUabQu_ym0Zz7PgGX0-kHA/edit?usp=sharing"",""แผน!JN24"")"),0)</f>
        <v>0</v>
      </c>
      <c r="J800" s="184">
        <f ca="1">IFERROR(__xludf.DUMMYFUNCTION("IMPORTRANGE(""https://docs.google.com/spreadsheets/d/1MaWodYyGHDf7siQLGxnXhG4mBNTNIuy296niS2xXulU/edit?usp=sharing"",""RTK!H24"")"),0)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 hidden="1">
      <c r="A801" s="573"/>
      <c r="B801" s="585"/>
      <c r="C801" s="585"/>
      <c r="D801" s="585"/>
      <c r="E801" s="593"/>
      <c r="F801" s="593"/>
      <c r="G801" s="729"/>
      <c r="H801" s="779" t="s">
        <v>34</v>
      </c>
      <c r="I801" s="184"/>
      <c r="J801" s="270">
        <f ca="1">IFERROR(__xludf.DUMMYFUNCTION("IMPORTRANGE(""https://docs.google.com/spreadsheets/d/1MaWodYyGHDf7siQLGxnXhG4mBNTNIuy296niS2xXulU/edit?usp=sharing"",""RTK!I24"")"),0)</f>
        <v>0</v>
      </c>
      <c r="K801" s="466"/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 hidden="1">
      <c r="A802" s="579"/>
      <c r="B802" s="581"/>
      <c r="C802" s="581"/>
      <c r="D802" s="581"/>
      <c r="E802" s="687"/>
      <c r="F802" s="687" t="s">
        <v>321</v>
      </c>
      <c r="G802" s="582"/>
      <c r="H802" s="620" t="s">
        <v>46</v>
      </c>
      <c r="I802" s="166"/>
      <c r="J802" s="584"/>
      <c r="K802" s="167">
        <f>IF(I802&gt;0,J802*100/I802,0)</f>
        <v>0</v>
      </c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 hidden="1">
      <c r="A803" s="579"/>
      <c r="B803" s="581"/>
      <c r="C803" s="581"/>
      <c r="D803" s="581"/>
      <c r="E803" s="687"/>
      <c r="F803" s="687"/>
      <c r="G803" s="582"/>
      <c r="H803" s="620" t="s">
        <v>34</v>
      </c>
      <c r="I803" s="166"/>
      <c r="J803" s="584"/>
      <c r="K803" s="167"/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>IF(I804&gt;0,J804*100/I804,0)</f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7">L806+L807</f>
        <v>0</v>
      </c>
      <c r="M805" s="614">
        <f t="shared" si="327"/>
        <v>0</v>
      </c>
      <c r="N805" s="614">
        <f t="shared" si="327"/>
        <v>0</v>
      </c>
      <c r="O805" s="614">
        <f t="shared" ref="O805:O810" si="328">IF(L805&gt;0,N805*100/L805,0)</f>
        <v>0</v>
      </c>
      <c r="P805" s="614">
        <f t="shared" ref="P805:P810" si="329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1">L809+L810</f>
        <v>0</v>
      </c>
      <c r="M808" s="614">
        <f t="shared" si="331"/>
        <v>0</v>
      </c>
      <c r="N808" s="614">
        <f t="shared" si="331"/>
        <v>0</v>
      </c>
      <c r="O808" s="614">
        <f t="shared" si="328"/>
        <v>0</v>
      </c>
      <c r="P808" s="614">
        <f t="shared" si="329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2">L816+L817</f>
        <v>0</v>
      </c>
      <c r="M815" s="614">
        <f t="shared" si="332"/>
        <v>0</v>
      </c>
      <c r="N815" s="614">
        <f t="shared" si="332"/>
        <v>0</v>
      </c>
      <c r="O815" s="614">
        <f t="shared" ref="O815:O817" si="333">IF(L815&gt;0,N815*100/L815,0)</f>
        <v>0</v>
      </c>
      <c r="P815" s="614">
        <f t="shared" ref="P815:P817" si="334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55" t="s">
        <v>332</v>
      </c>
      <c r="B820" s="856"/>
      <c r="C820" s="856"/>
      <c r="D820" s="857"/>
      <c r="E820" s="856"/>
      <c r="F820" s="856"/>
      <c r="G820" s="858"/>
      <c r="H820" s="8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60"/>
      <c r="J820" s="860"/>
      <c r="K820" s="861"/>
      <c r="L820" s="861"/>
      <c r="M820" s="861"/>
      <c r="N820" s="861"/>
      <c r="O820" s="861"/>
      <c r="P820" s="86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IFERROR(__xludf.DUMMYFUNCTION("IMPORTRANGE(""https://docs.google.com/spreadsheets/d/19vJNZY_5yjcGF2XGBMNZRCAIB0Kwfpjp8YEOfu-bneM/edit?usp=sharing"",""งานกองทุน!D24"")"),3553511.69)</f>
        <v>3553511.69</v>
      </c>
      <c r="J821" s="270">
        <f ca="1">IFERROR(__xludf.DUMMYFUNCTION("IMPORTRANGE(""https://docs.google.com/spreadsheets/d/19vJNZY_5yjcGF2XGBMNZRCAIB0Kwfpjp8YEOfu-bneM/edit?usp=sharing"",""งานกองทุน!F24"")"),1725000)</f>
        <v>1725000</v>
      </c>
      <c r="K821" s="466">
        <f t="shared" ref="K821:K828" ca="1" si="335">IF(I821&gt;0,J821*100/I821,0)</f>
        <v>48.543529626041554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IFERROR(__xludf.DUMMYFUNCTION("IMPORTRANGE(""https://docs.google.com/spreadsheets/d/19vJNZY_5yjcGF2XGBMNZRCAIB0Kwfpjp8YEOfu-bneM/edit?usp=sharing"",""งานกองทุน!C24"")"),170)</f>
        <v>170</v>
      </c>
      <c r="J822" s="270">
        <f ca="1">IFERROR(__xludf.DUMMYFUNCTION("IMPORTRANGE(""https://docs.google.com/spreadsheets/d/19vJNZY_5yjcGF2XGBMNZRCAIB0Kwfpjp8YEOfu-bneM/edit?usp=sharing"",""งานกองทุน!E24"")"),81)</f>
        <v>81</v>
      </c>
      <c r="K822" s="466">
        <f t="shared" ca="1" si="335"/>
        <v>47.647058823529413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IFERROR(__xludf.DUMMYFUNCTION("IMPORTRANGE(""https://docs.google.com/spreadsheets/d/19vJNZY_5yjcGF2XGBMNZRCAIB0Kwfpjp8YEOfu-bneM/edit?usp=sharing"",""งานกองทุน!I24"")"),635205.94)</f>
        <v>635205.93999999994</v>
      </c>
      <c r="J823" s="270">
        <f ca="1">IFERROR(__xludf.DUMMYFUNCTION("IMPORTRANGE(""https://docs.google.com/spreadsheets/d/19vJNZY_5yjcGF2XGBMNZRCAIB0Kwfpjp8YEOfu-bneM/edit?usp=sharing"",""งานกองทุน!K24"")"),108046.67)</f>
        <v>108046.67</v>
      </c>
      <c r="K823" s="466">
        <f t="shared" ca="1" si="335"/>
        <v>17.009707119552441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IFERROR(__xludf.DUMMYFUNCTION("IMPORTRANGE(""https://docs.google.com/spreadsheets/d/19vJNZY_5yjcGF2XGBMNZRCAIB0Kwfpjp8YEOfu-bneM/edit?usp=sharing"",""งานกองทุน!H24"")"),50)</f>
        <v>50</v>
      </c>
      <c r="J824" s="270">
        <f ca="1">IFERROR(__xludf.DUMMYFUNCTION("IMPORTRANGE(""https://docs.google.com/spreadsheets/d/19vJNZY_5yjcGF2XGBMNZRCAIB0Kwfpjp8YEOfu-bneM/edit?usp=sharing"",""งานกองทุน!J24"")"),41)</f>
        <v>41</v>
      </c>
      <c r="K824" s="466">
        <f t="shared" ca="1" si="335"/>
        <v>82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IFERROR(__xludf.DUMMYFUNCTION("IMPORTRANGE(""https://docs.google.com/spreadsheets/d/19vJNZY_5yjcGF2XGBMNZRCAIB0Kwfpjp8YEOfu-bneM/edit?usp=sharing"",""งานกองทุน!N24"")"),0)</f>
        <v>0</v>
      </c>
      <c r="J825" s="270">
        <f ca="1">IFERROR(__xludf.DUMMYFUNCTION("IMPORTRANGE(""https://docs.google.com/spreadsheets/d/19vJNZY_5yjcGF2XGBMNZRCAIB0Kwfpjp8YEOfu-bneM/edit?usp=sharing"",""งานกองทุน!P24"")"),0)</f>
        <v>0</v>
      </c>
      <c r="K825" s="466">
        <f t="shared" ca="1" si="335"/>
        <v>0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IFERROR(__xludf.DUMMYFUNCTION("IMPORTRANGE(""https://docs.google.com/spreadsheets/d/19vJNZY_5yjcGF2XGBMNZRCAIB0Kwfpjp8YEOfu-bneM/edit?usp=sharing"",""งานกองทุน!M24"")"),0)</f>
        <v>0</v>
      </c>
      <c r="J826" s="270">
        <f ca="1">IFERROR(__xludf.DUMMYFUNCTION("IMPORTRANGE(""https://docs.google.com/spreadsheets/d/19vJNZY_5yjcGF2XGBMNZRCAIB0Kwfpjp8YEOfu-bneM/edit?usp=sharing"",""งานกองทุน!O24"")"),0)</f>
        <v>0</v>
      </c>
      <c r="K826" s="466">
        <f t="shared" ca="1" si="335"/>
        <v>0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IFERROR(__xludf.DUMMYFUNCTION("IMPORTRANGE(""https://docs.google.com/spreadsheets/d/19vJNZY_5yjcGF2XGBMNZRCAIB0Kwfpjp8YEOfu-bneM/edit?usp=sharing"",""งานกองทุน!S24"")"),3700000)</f>
        <v>3700000</v>
      </c>
      <c r="J827" s="270">
        <f ca="1">IFERROR(__xludf.DUMMYFUNCTION("IMPORTRANGE(""https://docs.google.com/spreadsheets/d/19vJNZY_5yjcGF2XGBMNZRCAIB0Kwfpjp8YEOfu-bneM/edit?usp=sharing"",""งานกองทุน!U24"")"),460000)</f>
        <v>460000</v>
      </c>
      <c r="K827" s="466">
        <f t="shared" ca="1" si="335"/>
        <v>12.432432432432432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IFERROR(__xludf.DUMMYFUNCTION("IMPORTRANGE(""https://docs.google.com/spreadsheets/d/19vJNZY_5yjcGF2XGBMNZRCAIB0Kwfpjp8YEOfu-bneM/edit?usp=sharing"",""งานกองทุน!R24"")"),148)</f>
        <v>148</v>
      </c>
      <c r="J828" s="469">
        <f ca="1">IFERROR(__xludf.DUMMYFUNCTION("IMPORTRANGE(""https://docs.google.com/spreadsheets/d/19vJNZY_5yjcGF2XGBMNZRCAIB0Kwfpjp8YEOfu-bneM/edit?usp=sharing"",""งานกองทุน!T24"")"),17)</f>
        <v>17</v>
      </c>
      <c r="K828" s="470">
        <f t="shared" ca="1" si="335"/>
        <v>11.486486486486486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41244-7C4B-410D-80F4-9188936C26D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4" customWidth="1"/>
    <col min="4" max="6" width="5.85546875" style="804" customWidth="1"/>
    <col min="7" max="7" width="56.42578125" style="804" customWidth="1"/>
    <col min="8" max="8" width="9.42578125" style="804" customWidth="1"/>
    <col min="9" max="9" width="16.85546875" style="804" bestFit="1" customWidth="1"/>
    <col min="10" max="10" width="14.42578125" style="804" bestFit="1" customWidth="1"/>
    <col min="11" max="11" width="12.5703125" style="804" customWidth="1"/>
    <col min="12" max="13" width="20.28515625" style="804" bestFit="1" customWidth="1"/>
    <col min="14" max="14" width="21.28515625" style="804" bestFit="1" customWidth="1"/>
    <col min="15" max="16" width="17.5703125" style="804" customWidth="1"/>
    <col min="17" max="16384" width="12.5703125" style="804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347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3228905</v>
      </c>
      <c r="M8" s="22">
        <f t="shared" ca="1" si="0"/>
        <v>1858240</v>
      </c>
      <c r="N8" s="22">
        <f t="shared" ca="1" si="0"/>
        <v>1288789.6600000001</v>
      </c>
      <c r="O8" s="22">
        <f t="shared" ref="O8:O16" ca="1" si="1">IF(L8&gt;0,N8*100/L8,0)</f>
        <v>39.914139932887473</v>
      </c>
      <c r="P8" s="22">
        <f t="shared" ref="P8:P16" ca="1" si="2">IF(M8&gt;0,N8*100/M8,0)</f>
        <v>69.355393275357329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3228905</v>
      </c>
      <c r="M10" s="30">
        <f t="shared" ca="1" si="3"/>
        <v>1858240</v>
      </c>
      <c r="N10" s="30">
        <f t="shared" ca="1" si="3"/>
        <v>1288789.6600000001</v>
      </c>
      <c r="O10" s="30">
        <f t="shared" ca="1" si="1"/>
        <v>39.914139932887473</v>
      </c>
      <c r="P10" s="30">
        <f t="shared" ca="1" si="2"/>
        <v>69.355393275357329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3168905</v>
      </c>
      <c r="M11" s="466">
        <f t="shared" ca="1" si="4"/>
        <v>1798240</v>
      </c>
      <c r="N11" s="466">
        <f t="shared" ca="1" si="4"/>
        <v>1228789.6600000001</v>
      </c>
      <c r="O11" s="466">
        <f t="shared" ca="1" si="1"/>
        <v>38.776475154666997</v>
      </c>
      <c r="P11" s="466">
        <f t="shared" ca="1" si="2"/>
        <v>68.332906619806039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3168905</v>
      </c>
      <c r="M13" s="93">
        <f t="shared" ca="1" si="5"/>
        <v>1798240</v>
      </c>
      <c r="N13" s="93">
        <f t="shared" ca="1" si="5"/>
        <v>1228789.6600000001</v>
      </c>
      <c r="O13" s="93">
        <f t="shared" ca="1" si="1"/>
        <v>38.776475154666997</v>
      </c>
      <c r="P13" s="93">
        <f t="shared" ca="1" si="2"/>
        <v>68.332906619806039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60000</v>
      </c>
      <c r="M14" s="466">
        <f t="shared" ca="1" si="6"/>
        <v>60000</v>
      </c>
      <c r="N14" s="466">
        <f t="shared" ca="1" si="6"/>
        <v>60000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60000</v>
      </c>
      <c r="N16" s="52">
        <f t="shared" ca="1" si="7"/>
        <v>60000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2373920</v>
      </c>
      <c r="M18" s="22">
        <f t="shared" ca="1" si="8"/>
        <v>1858240</v>
      </c>
      <c r="N18" s="22">
        <f t="shared" ca="1" si="8"/>
        <v>987491.66</v>
      </c>
      <c r="O18" s="22">
        <f t="shared" ref="O18:O26" ca="1" si="9">IF(L18&gt;0,N18*100/L18,0)</f>
        <v>41.59751213183258</v>
      </c>
      <c r="P18" s="22">
        <f t="shared" ref="P18:P26" ca="1" si="10">IF(M18&gt;0,N18*100/M18,0)</f>
        <v>53.14123364043396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2373920</v>
      </c>
      <c r="M20" s="30">
        <f t="shared" ca="1" si="11"/>
        <v>1858240</v>
      </c>
      <c r="N20" s="30">
        <f t="shared" ca="1" si="11"/>
        <v>987491.66</v>
      </c>
      <c r="O20" s="30">
        <f t="shared" ca="1" si="9"/>
        <v>41.59751213183258</v>
      </c>
      <c r="P20" s="30">
        <f t="shared" ca="1" si="10"/>
        <v>53.14123364043396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2313920</v>
      </c>
      <c r="M21" s="466">
        <f t="shared" ca="1" si="12"/>
        <v>1798240</v>
      </c>
      <c r="N21" s="466">
        <f t="shared" ca="1" si="12"/>
        <v>927491.66</v>
      </c>
      <c r="O21" s="466">
        <f t="shared" ca="1" si="9"/>
        <v>40.083134248375053</v>
      </c>
      <c r="P21" s="466">
        <f t="shared" ca="1" si="10"/>
        <v>51.57774601832903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2313920</v>
      </c>
      <c r="M23" s="93">
        <f t="shared" ca="1" si="13"/>
        <v>1798240</v>
      </c>
      <c r="N23" s="93">
        <f t="shared" ca="1" si="13"/>
        <v>927491.66</v>
      </c>
      <c r="O23" s="93">
        <f t="shared" ca="1" si="9"/>
        <v>40.083134248375053</v>
      </c>
      <c r="P23" s="93">
        <f t="shared" ca="1" si="10"/>
        <v>51.57774601832903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60000</v>
      </c>
      <c r="M24" s="466">
        <f t="shared" ca="1" si="14"/>
        <v>60000</v>
      </c>
      <c r="N24" s="466">
        <f t="shared" ca="1" si="14"/>
        <v>60000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60000</v>
      </c>
      <c r="N26" s="52">
        <f t="shared" ca="1" si="15"/>
        <v>60000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854985</v>
      </c>
      <c r="M28" s="22">
        <f t="shared" si="16"/>
        <v>0</v>
      </c>
      <c r="N28" s="22">
        <f t="shared" si="16"/>
        <v>301298</v>
      </c>
      <c r="O28" s="22">
        <f t="shared" ref="O28:O37" ca="1" si="17">IF(L28&gt;0,N28*100/L28,0)</f>
        <v>35.240150411995529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854985</v>
      </c>
      <c r="M30" s="30">
        <f t="shared" si="19"/>
        <v>0</v>
      </c>
      <c r="N30" s="30">
        <f t="shared" si="19"/>
        <v>301298</v>
      </c>
      <c r="O30" s="30">
        <f t="shared" ca="1" si="17"/>
        <v>35.240150411995529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854985</v>
      </c>
      <c r="M31" s="466">
        <f t="shared" si="20"/>
        <v>0</v>
      </c>
      <c r="N31" s="466">
        <f t="shared" si="20"/>
        <v>301298</v>
      </c>
      <c r="O31" s="466">
        <f t="shared" ca="1" si="17"/>
        <v>35.240150411995529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854985</v>
      </c>
      <c r="M33" s="93">
        <f t="shared" si="21"/>
        <v>0</v>
      </c>
      <c r="N33" s="93">
        <f t="shared" si="21"/>
        <v>301298</v>
      </c>
      <c r="O33" s="93">
        <f t="shared" ca="1" si="17"/>
        <v>35.240150411995529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2373920</v>
      </c>
      <c r="M37" s="812">
        <f t="shared" ca="1" si="24"/>
        <v>1858240</v>
      </c>
      <c r="N37" s="812">
        <f t="shared" ca="1" si="24"/>
        <v>987491.66</v>
      </c>
      <c r="O37" s="812">
        <f t="shared" ca="1" si="17"/>
        <v>41.59751213183258</v>
      </c>
      <c r="P37" s="812">
        <f t="shared" ca="1" si="18"/>
        <v>53.14123364043396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185550</v>
      </c>
      <c r="M41" s="85">
        <f t="shared" ca="1" si="25"/>
        <v>193515</v>
      </c>
      <c r="N41" s="85">
        <f t="shared" ca="1" si="25"/>
        <v>51086</v>
      </c>
      <c r="O41" s="85">
        <f t="shared" ref="O41:O49" ca="1" si="26">IF(L41&gt;0,N41*100/L41,0)</f>
        <v>27.532201562921045</v>
      </c>
      <c r="P41" s="85">
        <f t="shared" ref="P41:P49" ca="1" si="27">IF(M41&gt;0,N41*100/M41,0)</f>
        <v>26.398987158618194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185550</v>
      </c>
      <c r="M43" s="92">
        <f t="shared" ca="1" si="28"/>
        <v>193515</v>
      </c>
      <c r="N43" s="92">
        <f t="shared" ca="1" si="28"/>
        <v>51086</v>
      </c>
      <c r="O43" s="92">
        <f t="shared" ca="1" si="26"/>
        <v>27.532201562921045</v>
      </c>
      <c r="P43" s="92">
        <f t="shared" ca="1" si="27"/>
        <v>26.398987158618194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185550</v>
      </c>
      <c r="M44" s="466">
        <f t="shared" ca="1" si="29"/>
        <v>193515</v>
      </c>
      <c r="N44" s="466">
        <f t="shared" ca="1" si="29"/>
        <v>51086</v>
      </c>
      <c r="O44" s="466">
        <f t="shared" ca="1" si="26"/>
        <v>27.532201562921045</v>
      </c>
      <c r="P44" s="466">
        <f t="shared" ca="1" si="27"/>
        <v>26.398987158618194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IFERROR(__xludf.DUMMYFUNCTION("IMPORTRANGE(""https://docs.google.com/spreadsheets/d/1MeEWN-I1oV_STSDYn1IFDPWt_1FKiwhDph83XaGc0o0/edit?usp=sharing"",""งบพรบ!M25"")"),185550)</f>
        <v>185550</v>
      </c>
      <c r="M46" s="93">
        <f ca="1">IFERROR(__xludf.DUMMYFUNCTION("IMPORTRANGE(""https://docs.google.com/spreadsheets/d/1MeEWN-I1oV_STSDYn1IFDPWt_1FKiwhDph83XaGc0o0/edit?usp=sharing"",""งบพรบ!R25"")"),193515)</f>
        <v>193515</v>
      </c>
      <c r="N46" s="93">
        <f ca="1">IFERROR(__xludf.DUMMYFUNCTION("IMPORTRANGE(""https://docs.google.com/spreadsheets/d/1MeEWN-I1oV_STSDYn1IFDPWt_1FKiwhDph83XaGc0o0/edit?usp=sharing"",""งบพรบ!T25"")"),51086)</f>
        <v>51086</v>
      </c>
      <c r="O46" s="93">
        <f t="shared" ca="1" si="26"/>
        <v>27.532201562921045</v>
      </c>
      <c r="P46" s="93">
        <f t="shared" ca="1" si="27"/>
        <v>26.398987158618194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IFERROR(__xludf.DUMMYFUNCTION("IMPORTRANGE(""https://docs.google.com/spreadsheets/d/1MeEWN-I1oV_STSDYn1IFDPWt_1FKiwhDph83XaGc0o0/edit?usp=sharing"",""งบพรบ!P25"")"),0)</f>
        <v>0</v>
      </c>
      <c r="M49" s="52">
        <f ca="1">IFERROR(__xludf.DUMMYFUNCTION("IMPORTRANGE(""https://docs.google.com/spreadsheets/d/1MeEWN-I1oV_STSDYn1IFDPWt_1FKiwhDph83XaGc0o0/edit?usp=sharing"",""งบพรบ!S25"")"),0)</f>
        <v>0</v>
      </c>
      <c r="N49" s="52">
        <f ca="1">IFERROR(__xludf.DUMMYFUNCTION("IMPORTRANGE(""https://docs.google.com/spreadsheets/d/1MeEWN-I1oV_STSDYn1IFDPWt_1FKiwhDph83XaGc0o0/edit?usp=sharing"",""งบพรบ!U25"")"),0)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672400</v>
      </c>
      <c r="M53" s="116">
        <f t="shared" ca="1" si="31"/>
        <v>504300</v>
      </c>
      <c r="N53" s="116">
        <f t="shared" ca="1" si="31"/>
        <v>289646.26</v>
      </c>
      <c r="O53" s="116">
        <f t="shared" ref="O53:O61" ca="1" si="32">IF(L53&gt;0,N53*100/L53,0)</f>
        <v>43.076481261154072</v>
      </c>
      <c r="P53" s="116">
        <f t="shared" ref="P53:P61" ca="1" si="33">IF(M53&gt;0,N53*100/M53,0)</f>
        <v>57.435308348205432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672400</v>
      </c>
      <c r="M55" s="123">
        <f t="shared" ca="1" si="34"/>
        <v>504300</v>
      </c>
      <c r="N55" s="123">
        <f t="shared" ca="1" si="34"/>
        <v>289646.26</v>
      </c>
      <c r="O55" s="123">
        <f t="shared" ca="1" si="32"/>
        <v>43.076481261154072</v>
      </c>
      <c r="P55" s="123">
        <f t="shared" ca="1" si="33"/>
        <v>57.435308348205432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672400</v>
      </c>
      <c r="M56" s="466">
        <f t="shared" ca="1" si="35"/>
        <v>504300</v>
      </c>
      <c r="N56" s="466">
        <f t="shared" ca="1" si="35"/>
        <v>289646.26</v>
      </c>
      <c r="O56" s="466">
        <f t="shared" ca="1" si="32"/>
        <v>43.076481261154072</v>
      </c>
      <c r="P56" s="466">
        <f t="shared" ca="1" si="33"/>
        <v>57.435308348205432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IFERROR(__xludf.DUMMYFUNCTION("IMPORTRANGE(""https://docs.google.com/spreadsheets/d/1MeEWN-I1oV_STSDYn1IFDPWt_1FKiwhDph83XaGc0o0/edit?usp=sharing"",""งบพรบ!W25"")"),672400)</f>
        <v>672400</v>
      </c>
      <c r="M58" s="93">
        <f ca="1">IFERROR(__xludf.DUMMYFUNCTION("IMPORTRANGE(""https://docs.google.com/spreadsheets/d/1MeEWN-I1oV_STSDYn1IFDPWt_1FKiwhDph83XaGc0o0/edit?usp=sharing"",""งบพรบ!AB25"")"),504300)</f>
        <v>504300</v>
      </c>
      <c r="N58" s="93">
        <f ca="1">IFERROR(__xludf.DUMMYFUNCTION("IMPORTRANGE(""https://docs.google.com/spreadsheets/d/1MeEWN-I1oV_STSDYn1IFDPWt_1FKiwhDph83XaGc0o0/edit?usp=sharing"",""งบพรบ!AD25"")"),289646.26)</f>
        <v>289646.26</v>
      </c>
      <c r="O58" s="93">
        <f t="shared" ca="1" si="32"/>
        <v>43.076481261154072</v>
      </c>
      <c r="P58" s="93">
        <f t="shared" ca="1" si="33"/>
        <v>57.435308348205432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IFERROR(__xludf.DUMMYFUNCTION("IMPORTRANGE(""https://docs.google.com/spreadsheets/d/1MeEWN-I1oV_STSDYn1IFDPWt_1FKiwhDph83XaGc0o0/edit?usp=sharing"",""งบพรบ!Z25"")"),0)</f>
        <v>0</v>
      </c>
      <c r="M61" s="52">
        <f ca="1">IFERROR(__xludf.DUMMYFUNCTION("IMPORTRANGE(""https://docs.google.com/spreadsheets/d/1MeEWN-I1oV_STSDYn1IFDPWt_1FKiwhDph83XaGc0o0/edit?usp=sharing"",""งบพรบ!AC25"")"),0)</f>
        <v>0</v>
      </c>
      <c r="N61" s="52">
        <f ca="1">IFERROR(__xludf.DUMMYFUNCTION("IMPORTRANGE(""https://docs.google.com/spreadsheets/d/1MeEWN-I1oV_STSDYn1IFDPWt_1FKiwhDph83XaGc0o0/edit?usp=sharing"",""งบพรบ!AE25"")"),0)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IFERROR(__xludf.DUMMYFUNCTION("IMPORTRANGE(""https://docs.google.com/spreadsheets/d/1MeEWN-I1oV_STSDYn1IFDPWt_1FKiwhDph83XaGc0o0/edit?usp=sharing"",""งบพรบ!AG25"")"),0)</f>
        <v>0</v>
      </c>
      <c r="M71" s="93">
        <f ca="1">IFERROR(__xludf.DUMMYFUNCTION("IMPORTRANGE(""https://docs.google.com/spreadsheets/d/1MeEWN-I1oV_STSDYn1IFDPWt_1FKiwhDph83XaGc0o0/edit?usp=sharing"",""งบพรบ!AL25"")"),0)</f>
        <v>0</v>
      </c>
      <c r="N71" s="93">
        <f ca="1">IFERROR(__xludf.DUMMYFUNCTION("IMPORTRANGE(""https://docs.google.com/spreadsheets/d/1MeEWN-I1oV_STSDYn1IFDPWt_1FKiwhDph83XaGc0o0/edit?usp=sharing"",""งบพรบ!AN25"")"),0)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IFERROR(__xludf.DUMMYFUNCTION("IMPORTRANGE(""https://docs.google.com/spreadsheets/d/1MeEWN-I1oV_STSDYn1IFDPWt_1FKiwhDph83XaGc0o0/edit?usp=sharing"",""งบพรบ!AJ25"")"),0)</f>
        <v>0</v>
      </c>
      <c r="M74" s="93">
        <f ca="1">IFERROR(__xludf.DUMMYFUNCTION("IMPORTRANGE(""https://docs.google.com/spreadsheets/d/1MeEWN-I1oV_STSDYn1IFDPWt_1FKiwhDph83XaGc0o0/edit?usp=sharing"",""งบพรบ!AM25"")"),0)</f>
        <v>0</v>
      </c>
      <c r="N74" s="93">
        <f ca="1">IFERROR(__xludf.DUMMYFUNCTION("IMPORTRANGE(""https://docs.google.com/spreadsheets/d/1MeEWN-I1oV_STSDYn1IFDPWt_1FKiwhDph83XaGc0o0/edit?usp=sharing"",""งบพรบ!AO25"")"),0)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IFERROR(__xludf.DUMMYFUNCTION("IMPORTRANGE(""https://docs.google.com/spreadsheets/d/1QqKyyYR6Q21VydFLVH3TRQUabQu_ym0Zz7PgGX0-kHA/edit?usp=sharing"",""แผน!H25"")"),0)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IFERROR(__xludf.DUMMYFUNCTION("IMPORTRANGE(""https://docs.google.com/spreadsheets/d/1QqKyyYR6Q21VydFLVH3TRQUabQu_ym0Zz7PgGX0-kHA/edit?usp=sharing"",""แผน!I25"")"),0)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IFERROR(__xludf.DUMMYFUNCTION("IMPORTRANGE(""https://docs.google.com/spreadsheets/d/1QqKyyYR6Q21VydFLVH3TRQUabQu_ym0Zz7PgGX0-kHA/edit?usp=sharing"",""แผน!F25"")"),0)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IFERROR(__xludf.DUMMYFUNCTION("IMPORTRANGE(""https://docs.google.com/spreadsheets/d/1QqKyyYR6Q21VydFLVH3TRQUabQu_ym0Zz7PgGX0-kHA/edit?usp=sharing"",""แผน!G25"")"),0)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IFERROR(__xludf.DUMMYFUNCTION("IMPORTRANGE(""https://docs.google.com/spreadsheets/d/1QqKyyYR6Q21VydFLVH3TRQUabQu_ym0Zz7PgGX0-kHA/edit?usp=sharing"",""แผน!D25"")"),0)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IFERROR(__xludf.DUMMYFUNCTION("IMPORTRANGE(""https://docs.google.com/spreadsheets/d/1QqKyyYR6Q21VydFLVH3TRQUabQu_ym0Zz7PgGX0-kHA/edit?usp=sharing"",""แผน!E25"")"),0)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IFERROR(__xludf.DUMMYFUNCTION("IMPORTRANGE(""https://docs.google.com/spreadsheets/d/1QqKyyYR6Q21VydFLVH3TRQUabQu_ym0Zz7PgGX0-kHA/edit?usp=sharing"",""แผน!J25"")"),0)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235620</v>
      </c>
      <c r="M88" s="155">
        <f t="shared" ca="1" si="49"/>
        <v>186795</v>
      </c>
      <c r="N88" s="155">
        <f t="shared" ca="1" si="49"/>
        <v>138498.4</v>
      </c>
      <c r="O88" s="155">
        <f t="shared" ref="O88:O96" ca="1" si="50">IF(L88&gt;0,N88*100/L88,0)</f>
        <v>58.780409133350311</v>
      </c>
      <c r="P88" s="155">
        <f t="shared" ref="P88:P96" ca="1" si="51">IF(M88&gt;0,N88*100/M88,0)</f>
        <v>74.144597018121473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235620</v>
      </c>
      <c r="M90" s="93">
        <f t="shared" ca="1" si="52"/>
        <v>186795</v>
      </c>
      <c r="N90" s="93">
        <f t="shared" ca="1" si="52"/>
        <v>138498.4</v>
      </c>
      <c r="O90" s="93">
        <f t="shared" ca="1" si="50"/>
        <v>58.780409133350311</v>
      </c>
      <c r="P90" s="93">
        <f t="shared" ca="1" si="51"/>
        <v>74.144597018121473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235620</v>
      </c>
      <c r="M91" s="466">
        <f t="shared" ca="1" si="53"/>
        <v>186795</v>
      </c>
      <c r="N91" s="466">
        <f t="shared" ca="1" si="53"/>
        <v>138498.4</v>
      </c>
      <c r="O91" s="466">
        <f t="shared" ca="1" si="50"/>
        <v>58.780409133350311</v>
      </c>
      <c r="P91" s="466">
        <f t="shared" ca="1" si="51"/>
        <v>74.144597018121473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IFERROR(__xludf.DUMMYFUNCTION("IMPORTRANGE(""https://docs.google.com/spreadsheets/d/1MeEWN-I1oV_STSDYn1IFDPWt_1FKiwhDph83XaGc0o0/edit?usp=sharing"",""งบพรบ!AQ25"")"),235620)</f>
        <v>235620</v>
      </c>
      <c r="M93" s="93">
        <f ca="1">IFERROR(__xludf.DUMMYFUNCTION("IMPORTRANGE(""https://docs.google.com/spreadsheets/d/1MeEWN-I1oV_STSDYn1IFDPWt_1FKiwhDph83XaGc0o0/edit?usp=sharing"",""งบพรบ!AV25"")"),186795)</f>
        <v>186795</v>
      </c>
      <c r="N93" s="93">
        <f ca="1">IFERROR(__xludf.DUMMYFUNCTION("IMPORTRANGE(""https://docs.google.com/spreadsheets/d/1MeEWN-I1oV_STSDYn1IFDPWt_1FKiwhDph83XaGc0o0/edit?usp=sharing"",""งบพรบ!AX25"")"),138498.4)</f>
        <v>138498.4</v>
      </c>
      <c r="O93" s="93">
        <f t="shared" ca="1" si="50"/>
        <v>58.780409133350311</v>
      </c>
      <c r="P93" s="93">
        <f t="shared" ca="1" si="51"/>
        <v>74.144597018121473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IFERROR(__xludf.DUMMYFUNCTION("IMPORTRANGE(""https://docs.google.com/spreadsheets/d/1MeEWN-I1oV_STSDYn1IFDPWt_1FKiwhDph83XaGc0o0/edit?usp=sharing"",""งบพรบ!AT25"")"),0)</f>
        <v>0</v>
      </c>
      <c r="M96" s="93">
        <f ca="1">IFERROR(__xludf.DUMMYFUNCTION("IMPORTRANGE(""https://docs.google.com/spreadsheets/d/1MeEWN-I1oV_STSDYn1IFDPWt_1FKiwhDph83XaGc0o0/edit?usp=sharing"",""งบพรบ!AW25"")"),0)</f>
        <v>0</v>
      </c>
      <c r="N96" s="93">
        <f ca="1">IFERROR(__xludf.DUMMYFUNCTION("IMPORTRANGE(""https://docs.google.com/spreadsheets/d/1MeEWN-I1oV_STSDYn1IFDPWt_1FKiwhDph83XaGc0o0/edit?usp=sharing"",""งบพรบ!AY25"")"),0)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IFERROR(__xludf.DUMMYFUNCTION("IMPORTRANGE(""https://docs.google.com/spreadsheets/d/1QqKyyYR6Q21VydFLVH3TRQUabQu_ym0Zz7PgGX0-kHA/edit?usp=sharing"",""แผน!K25"")"),90)</f>
        <v>90</v>
      </c>
      <c r="J98" s="270">
        <f>J102</f>
        <v>0</v>
      </c>
      <c r="K98" s="466">
        <f t="shared" ref="K98:K100" ca="1" si="55">IF(I98&gt;0,J98*100/I98,0)</f>
        <v>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IFERROR(__xludf.DUMMYFUNCTION("IMPORTRANGE(""https://docs.google.com/spreadsheets/d/1QqKyyYR6Q21VydFLVH3TRQUabQu_ym0Zz7PgGX0-kHA/edit?usp=sharing"",""แผน!L25"")"),30)</f>
        <v>30</v>
      </c>
      <c r="J99" s="270">
        <f>J104</f>
        <v>0</v>
      </c>
      <c r="K99" s="466">
        <f t="shared" ca="1" si="55"/>
        <v>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IFERROR(__xludf.DUMMYFUNCTION("IMPORTRANGE(""https://docs.google.com/spreadsheets/d/1QqKyyYR6Q21VydFLVH3TRQUabQu_ym0Zz7PgGX0-kHA/edit?usp=sharing"",""แผน!M25"")"),0)</f>
        <v>0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IFERROR(__xludf.DUMMYFUNCTION("IMPORTRANGE(""https://docs.google.com/spreadsheets/d/1QqKyyYR6Q21VydFLVH3TRQUabQu_ym0Zz7PgGX0-kHA/edit?usp=sharing"",""แผน!N25"")"),90)</f>
        <v>90</v>
      </c>
      <c r="J102" s="215">
        <v>0</v>
      </c>
      <c r="K102" s="466">
        <f t="shared" ref="K102:K104" ca="1" si="56">IF(I102&gt;0,J102*100/I102,0)</f>
        <v>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IFERROR(__xludf.DUMMYFUNCTION("IMPORTRANGE(""https://docs.google.com/spreadsheets/d/1QqKyyYR6Q21VydFLVH3TRQUabQu_ym0Zz7PgGX0-kHA/edit?usp=sharing"",""แผน!O25"")"),30)</f>
        <v>30</v>
      </c>
      <c r="J103" s="215">
        <v>0</v>
      </c>
      <c r="K103" s="466">
        <f t="shared" ca="1" si="56"/>
        <v>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IFERROR(__xludf.DUMMYFUNCTION("IMPORTRANGE(""https://docs.google.com/spreadsheets/d/1QqKyyYR6Q21VydFLVH3TRQUabQu_ym0Zz7PgGX0-kHA/edit?usp=sharing"",""แผน!O25"")"),30)</f>
        <v>30</v>
      </c>
      <c r="J104" s="215">
        <v>0</v>
      </c>
      <c r="K104" s="466">
        <f t="shared" ca="1" si="56"/>
        <v>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IFERROR(__xludf.DUMMYFUNCTION("IMPORTRANGE(""https://docs.google.com/spreadsheets/d/1QqKyyYR6Q21VydFLVH3TRQUabQu_ym0Zz7PgGX0-kHA/edit?usp=sharing"",""แผน!P25"")"),0)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IFERROR(__xludf.DUMMYFUNCTION("IMPORTRANGE(""https://docs.google.com/spreadsheets/d/1QqKyyYR6Q21VydFLVH3TRQUabQu_ym0Zz7PgGX0-kHA/edit?usp=sharing"",""แผน!P25"")"),0)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IFERROR(__xludf.DUMMYFUNCTION("IMPORTRANGE(""https://docs.google.com/spreadsheets/d/1QqKyyYR6Q21VydFLVH3TRQUabQu_ym0Zz7PgGX0-kHA/edit?usp=sharing"",""แผน!Q25"")"),0)</f>
        <v>0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IFERROR(__xludf.DUMMYFUNCTION("IMPORTRANGE(""https://docs.google.com/spreadsheets/d/1QqKyyYR6Q21VydFLVH3TRQUabQu_ym0Zz7PgGX0-kHA/edit?usp=sharing"",""แผน!Q25"")"),0)</f>
        <v>0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IFERROR(__xludf.DUMMYFUNCTION("IMPORTRANGE(""https://docs.google.com/spreadsheets/d/1QqKyyYR6Q21VydFLVH3TRQUabQu_ym0Zz7PgGX0-kHA/edit?usp=sharing"",""แผน!R25"")"),30)</f>
        <v>30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0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IFERROR(__xludf.DUMMYFUNCTION("IMPORTRANGE(""https://docs.google.com/spreadsheets/d/1QqKyyYR6Q21VydFLVH3TRQUabQu_ym0Zz7PgGX0-kHA/edit?usp=sharing"",""แผน!R25"")"),30)</f>
        <v>30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IFERROR(__xludf.DUMMYFUNCTION("IMPORTRANGE(""https://docs.google.com/spreadsheets/d/1QqKyyYR6Q21VydFLVH3TRQUabQu_ym0Zz7PgGX0-kHA/edit?usp=sharing"",""แผน!R25"")"),30)</f>
        <v>30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IFERROR(__xludf.DUMMYFUNCTION("IMPORTRANGE(""https://docs.google.com/spreadsheets/d/1QqKyyYR6Q21VydFLVH3TRQUabQu_ym0Zz7PgGX0-kHA/edit?usp=sharing"",""แผน!S25"")"),0)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IFERROR(__xludf.DUMMYFUNCTION("IMPORTRANGE(""https://docs.google.com/spreadsheets/d/1QqKyyYR6Q21VydFLVH3TRQUabQu_ym0Zz7PgGX0-kHA/edit?usp=sharing"",""แผน!T25"")"),0)</f>
        <v>0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IFERROR(__xludf.DUMMYFUNCTION("IMPORTRANGE(""https://docs.google.com/spreadsheets/d/1MeEWN-I1oV_STSDYn1IFDPWt_1FKiwhDph83XaGc0o0/edit?usp=sharing"",""งบพรบ!BA25"")"),0)</f>
        <v>0</v>
      </c>
      <c r="M124" s="93">
        <f ca="1">IFERROR(__xludf.DUMMYFUNCTION("IMPORTRANGE(""https://docs.google.com/spreadsheets/d/1MeEWN-I1oV_STSDYn1IFDPWt_1FKiwhDph83XaGc0o0/edit?usp=sharing"",""งบพรบ!BF25"")"),0)</f>
        <v>0</v>
      </c>
      <c r="N124" s="93">
        <f ca="1">IFERROR(__xludf.DUMMYFUNCTION("IMPORTRANGE(""https://docs.google.com/spreadsheets/d/1MeEWN-I1oV_STSDYn1IFDPWt_1FKiwhDph83XaGc0o0/edit?usp=sharing"",""งบพรบ!BH25"")"),0)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IFERROR(__xludf.DUMMYFUNCTION("IMPORTRANGE(""https://docs.google.com/spreadsheets/d/1MeEWN-I1oV_STSDYn1IFDPWt_1FKiwhDph83XaGc0o0/edit?usp=sharing"",""งบพรบ!BD25"")"),0)</f>
        <v>0</v>
      </c>
      <c r="M127" s="93">
        <f ca="1">IFERROR(__xludf.DUMMYFUNCTION("IMPORTRANGE(""https://docs.google.com/spreadsheets/d/1MeEWN-I1oV_STSDYn1IFDPWt_1FKiwhDph83XaGc0o0/edit?usp=sharing"",""งบพรบ!BG25"")"),0)</f>
        <v>0</v>
      </c>
      <c r="N127" s="93">
        <f ca="1">IFERROR(__xludf.DUMMYFUNCTION("IMPORTRANGE(""https://docs.google.com/spreadsheets/d/1MeEWN-I1oV_STSDYn1IFDPWt_1FKiwhDph83XaGc0o0/edit?usp=sharing"",""งบพรบ!BI25"")"),0)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IFERROR(__xludf.DUMMYFUNCTION("IMPORTRANGE(""https://docs.google.com/spreadsheets/d/1MeEWN-I1oV_STSDYn1IFDPWt_1FKiwhDph83XaGc0o0/edit?usp=sharing"",""งบพรบ!BK25"")"),0)</f>
        <v>0</v>
      </c>
      <c r="M137" s="93">
        <f ca="1">IFERROR(__xludf.DUMMYFUNCTION("IMPORTRANGE(""https://docs.google.com/spreadsheets/d/1MeEWN-I1oV_STSDYn1IFDPWt_1FKiwhDph83XaGc0o0/edit?usp=sharing"",""งบพรบ!BP25"")"),0)</f>
        <v>0</v>
      </c>
      <c r="N137" s="93">
        <f ca="1">IFERROR(__xludf.DUMMYFUNCTION("IMPORTRANGE(""https://docs.google.com/spreadsheets/d/1MeEWN-I1oV_STSDYn1IFDPWt_1FKiwhDph83XaGc0o0/edit?usp=sharing"",""งบพรบ!BR25"")"),0)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IFERROR(__xludf.DUMMYFUNCTION("IMPORTRANGE(""https://docs.google.com/spreadsheets/d/1MeEWN-I1oV_STSDYn1IFDPWt_1FKiwhDph83XaGc0o0/edit?usp=sharing"",""งบพรบ!BN25"")"),0)</f>
        <v>0</v>
      </c>
      <c r="M140" s="93">
        <f ca="1">IFERROR(__xludf.DUMMYFUNCTION("IMPORTRANGE(""https://docs.google.com/spreadsheets/d/1MeEWN-I1oV_STSDYn1IFDPWt_1FKiwhDph83XaGc0o0/edit?usp=sharing"",""งบพรบ!BQ25"")"),0)</f>
        <v>0</v>
      </c>
      <c r="N140" s="93">
        <f ca="1">IFERROR(__xludf.DUMMYFUNCTION("IMPORTRANGE(""https://docs.google.com/spreadsheets/d/1MeEWN-I1oV_STSDYn1IFDPWt_1FKiwhDph83XaGc0o0/edit?usp=sharing"",""งบพรบ!BS25"")"),0)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IFERROR(__xludf.DUMMYFUNCTION("IMPORTRANGE(""https://docs.google.com/spreadsheets/d/1QqKyyYR6Q21VydFLVH3TRQUabQu_ym0Zz7PgGX0-kHA/edit?usp=sharing"",""แผน!U25"")"),0)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IFERROR(__xludf.DUMMYFUNCTION("IMPORTRANGE(""https://docs.google.com/spreadsheets/d/1QqKyyYR6Q21VydFLVH3TRQUabQu_ym0Zz7PgGX0-kHA/edit?usp=sharing"",""แผน!V25"")"),0)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IFERROR(__xludf.DUMMYFUNCTION("IMPORTRANGE(""https://docs.google.com/spreadsheets/d/1QqKyyYR6Q21VydFLVH3TRQUabQu_ym0Zz7PgGX0-kHA/edit?usp=sharing"",""แผน!W25"")"),0)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14880</v>
      </c>
      <c r="N149" s="155">
        <f t="shared" ca="1" si="77"/>
        <v>4880</v>
      </c>
      <c r="O149" s="155">
        <f t="shared" ref="O149:O157" ca="1" si="78">IF(L149&gt;0,N149*100/L149,0)</f>
        <v>48.8</v>
      </c>
      <c r="P149" s="155">
        <f t="shared" ref="P149:P157" ca="1" si="79">IF(M149&gt;0,N149*100/M149,0)</f>
        <v>32.795698924731184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14880</v>
      </c>
      <c r="N151" s="93">
        <f t="shared" ca="1" si="80"/>
        <v>4880</v>
      </c>
      <c r="O151" s="93">
        <f t="shared" ca="1" si="78"/>
        <v>48.8</v>
      </c>
      <c r="P151" s="93">
        <f t="shared" ca="1" si="79"/>
        <v>32.795698924731184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14880</v>
      </c>
      <c r="N152" s="466">
        <f t="shared" ca="1" si="81"/>
        <v>4880</v>
      </c>
      <c r="O152" s="466">
        <f t="shared" ca="1" si="78"/>
        <v>48.8</v>
      </c>
      <c r="P152" s="466">
        <f t="shared" ca="1" si="79"/>
        <v>32.795698924731184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IFERROR(__xludf.DUMMYFUNCTION("IMPORTRANGE(""https://docs.google.com/spreadsheets/d/1MeEWN-I1oV_STSDYn1IFDPWt_1FKiwhDph83XaGc0o0/edit?usp=sharing"",""งบพรบ!BU25"")"),10000)</f>
        <v>10000</v>
      </c>
      <c r="M154" s="93">
        <f ca="1">IFERROR(__xludf.DUMMYFUNCTION("IMPORTRANGE(""https://docs.google.com/spreadsheets/d/1MeEWN-I1oV_STSDYn1IFDPWt_1FKiwhDph83XaGc0o0/edit?usp=sharing"",""งบพรบ!BZ25"")"),14880)</f>
        <v>14880</v>
      </c>
      <c r="N154" s="93">
        <f ca="1">IFERROR(__xludf.DUMMYFUNCTION("IMPORTRANGE(""https://docs.google.com/spreadsheets/d/1MeEWN-I1oV_STSDYn1IFDPWt_1FKiwhDph83XaGc0o0/edit?usp=sharing"",""งบพรบ!CB25"")"),4880)</f>
        <v>4880</v>
      </c>
      <c r="O154" s="93">
        <f t="shared" ca="1" si="78"/>
        <v>48.8</v>
      </c>
      <c r="P154" s="93">
        <f t="shared" ca="1" si="79"/>
        <v>32.795698924731184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IFERROR(__xludf.DUMMYFUNCTION("IMPORTRANGE(""https://docs.google.com/spreadsheets/d/1MeEWN-I1oV_STSDYn1IFDPWt_1FKiwhDph83XaGc0o0/edit?usp=sharing"",""งบพรบ!BX25"")"),0)</f>
        <v>0</v>
      </c>
      <c r="M157" s="93">
        <f ca="1">IFERROR(__xludf.DUMMYFUNCTION("IMPORTRANGE(""https://docs.google.com/spreadsheets/d/1MeEWN-I1oV_STSDYn1IFDPWt_1FKiwhDph83XaGc0o0/edit?usp=sharing"",""งบพรบ!CA25"")"),0)</f>
        <v>0</v>
      </c>
      <c r="N157" s="93">
        <f ca="1">IFERROR(__xludf.DUMMYFUNCTION("IMPORTRANGE(""https://docs.google.com/spreadsheets/d/1MeEWN-I1oV_STSDYn1IFDPWt_1FKiwhDph83XaGc0o0/edit?usp=sharing"",""งบพรบ!CC25"")"),0)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IFERROR(__xludf.DUMMYFUNCTION("IMPORTRANGE(""https://docs.google.com/spreadsheets/d/1QqKyyYR6Q21VydFLVH3TRQUabQu_ym0Zz7PgGX0-kHA/edit?usp=sharing"",""แผน!X25"")"),20)</f>
        <v>20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43450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53.072497123130034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23060</v>
      </c>
      <c r="M167" s="93">
        <f t="shared" ca="1" si="87"/>
        <v>43450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53.072497123130034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43450</v>
      </c>
      <c r="N168" s="466">
        <f t="shared" ca="1" si="88"/>
        <v>23060</v>
      </c>
      <c r="O168" s="466">
        <f t="shared" ca="1" si="85"/>
        <v>100</v>
      </c>
      <c r="P168" s="466">
        <f t="shared" ca="1" si="86"/>
        <v>53.072497123130034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IFERROR(__xludf.DUMMYFUNCTION("IMPORTRANGE(""https://docs.google.com/spreadsheets/d/1MeEWN-I1oV_STSDYn1IFDPWt_1FKiwhDph83XaGc0o0/edit?usp=sharing"",""งบพรบ!CE25"")"),23060)</f>
        <v>23060</v>
      </c>
      <c r="M170" s="93">
        <f ca="1">IFERROR(__xludf.DUMMYFUNCTION("IMPORTRANGE(""https://docs.google.com/spreadsheets/d/1MeEWN-I1oV_STSDYn1IFDPWt_1FKiwhDph83XaGc0o0/edit?usp=sharing"",""งบพรบ!CJ25"")"),43450)</f>
        <v>43450</v>
      </c>
      <c r="N170" s="93">
        <f ca="1">IFERROR(__xludf.DUMMYFUNCTION("IMPORTRANGE(""https://docs.google.com/spreadsheets/d/1MeEWN-I1oV_STSDYn1IFDPWt_1FKiwhDph83XaGc0o0/edit?usp=sharing"",""งบพรบ!CL25"")"),23060)</f>
        <v>23060</v>
      </c>
      <c r="O170" s="93">
        <f t="shared" ca="1" si="85"/>
        <v>100</v>
      </c>
      <c r="P170" s="93">
        <f t="shared" ca="1" si="86"/>
        <v>53.072497123130034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IFERROR(__xludf.DUMMYFUNCTION("IMPORTRANGE(""https://docs.google.com/spreadsheets/d/1MeEWN-I1oV_STSDYn1IFDPWt_1FKiwhDph83XaGc0o0/edit?usp=sharing"",""งบพรบ!CH25"")"),0)</f>
        <v>0</v>
      </c>
      <c r="M173" s="93">
        <f ca="1">IFERROR(__xludf.DUMMYFUNCTION("IMPORTRANGE(""https://docs.google.com/spreadsheets/d/1MeEWN-I1oV_STSDYn1IFDPWt_1FKiwhDph83XaGc0o0/edit?usp=sharing"",""งบพรบ!CK25"")"),0)</f>
        <v>0</v>
      </c>
      <c r="N173" s="93">
        <f ca="1">IFERROR(__xludf.DUMMYFUNCTION("IMPORTRANGE(""https://docs.google.com/spreadsheets/d/1MeEWN-I1oV_STSDYn1IFDPWt_1FKiwhDph83XaGc0o0/edit?usp=sharing"",""งบพรบ!CM25"")"),0)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221500</v>
      </c>
      <c r="M181" s="155">
        <f t="shared" ca="1" si="92"/>
        <v>142500</v>
      </c>
      <c r="N181" s="155">
        <f t="shared" ca="1" si="92"/>
        <v>67182</v>
      </c>
      <c r="O181" s="155">
        <f t="shared" ref="O181:O189" ca="1" si="93">IF(L181&gt;0,N181*100/L181,0)</f>
        <v>30.330474040632055</v>
      </c>
      <c r="P181" s="155">
        <f t="shared" ref="P181:P189" ca="1" si="94">IF(M181&gt;0,N181*100/M181,0)</f>
        <v>47.145263157894739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221500</v>
      </c>
      <c r="M183" s="93">
        <f t="shared" ca="1" si="95"/>
        <v>142500</v>
      </c>
      <c r="N183" s="93">
        <f t="shared" ca="1" si="95"/>
        <v>67182</v>
      </c>
      <c r="O183" s="93">
        <f t="shared" ca="1" si="93"/>
        <v>30.330474040632055</v>
      </c>
      <c r="P183" s="93">
        <f t="shared" ca="1" si="94"/>
        <v>47.145263157894739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6">L185+L186</f>
        <v>221500</v>
      </c>
      <c r="M184" s="466">
        <f t="shared" ca="1" si="96"/>
        <v>142500</v>
      </c>
      <c r="N184" s="466">
        <f t="shared" ca="1" si="96"/>
        <v>67182</v>
      </c>
      <c r="O184" s="466">
        <f t="shared" ca="1" si="93"/>
        <v>30.330474040632055</v>
      </c>
      <c r="P184" s="466">
        <f t="shared" ca="1" si="94"/>
        <v>47.145263157894739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IFERROR(__xludf.DUMMYFUNCTION("IMPORTRANGE(""https://docs.google.com/spreadsheets/d/1MeEWN-I1oV_STSDYn1IFDPWt_1FKiwhDph83XaGc0o0/edit?usp=sharing"",""งบพรบ!CO25"")"),221500)</f>
        <v>221500</v>
      </c>
      <c r="M186" s="93">
        <f ca="1">IFERROR(__xludf.DUMMYFUNCTION("IMPORTRANGE(""https://docs.google.com/spreadsheets/d/1MeEWN-I1oV_STSDYn1IFDPWt_1FKiwhDph83XaGc0o0/edit?usp=sharing"",""งบพรบ!CT25"")"),142500)</f>
        <v>142500</v>
      </c>
      <c r="N186" s="93">
        <f ca="1">IFERROR(__xludf.DUMMYFUNCTION("IMPORTRANGE(""https://docs.google.com/spreadsheets/d/1MeEWN-I1oV_STSDYn1IFDPWt_1FKiwhDph83XaGc0o0/edit?usp=sharing"",""งบพรบ!CV25"")"),67182)</f>
        <v>67182</v>
      </c>
      <c r="O186" s="93">
        <f t="shared" ca="1" si="93"/>
        <v>30.330474040632055</v>
      </c>
      <c r="P186" s="93">
        <f t="shared" ca="1" si="94"/>
        <v>47.145263157894739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IFERROR(__xludf.DUMMYFUNCTION("IMPORTRANGE(""https://docs.google.com/spreadsheets/d/1MeEWN-I1oV_STSDYn1IFDPWt_1FKiwhDph83XaGc0o0/edit?usp=sharing"",""งบพรบ!CR25"")"),0)</f>
        <v>0</v>
      </c>
      <c r="M189" s="93">
        <f ca="1">IFERROR(__xludf.DUMMYFUNCTION("IMPORTRANGE(""https://docs.google.com/spreadsheets/d/1MeEWN-I1oV_STSDYn1IFDPWt_1FKiwhDph83XaGc0o0/edit?usp=sharing"",""งบพรบ!CU25"")"),0)</f>
        <v>0</v>
      </c>
      <c r="N189" s="93">
        <f ca="1">IFERROR(__xludf.DUMMYFUNCTION("IMPORTRANGE(""https://docs.google.com/spreadsheets/d/1MeEWN-I1oV_STSDYn1IFDPWt_1FKiwhDph83XaGc0o0/edit?usp=sharing"",""งบพรบ!CW25"")"),0)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IFERROR(__xludf.DUMMYFUNCTION("IMPORTRANGE(""https://docs.google.com/spreadsheets/d/1QqKyyYR6Q21VydFLVH3TRQUabQu_ym0Zz7PgGX0-kHA/edit?usp=sharing"",""แผน!Z25"")"),6000)</f>
        <v>6000</v>
      </c>
      <c r="M191" s="155"/>
      <c r="N191" s="276">
        <v>1240</v>
      </c>
      <c r="O191" s="155">
        <f ca="1">IF(L191&gt;0,N191*100/L191,0)</f>
        <v>20.666666666666668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IFERROR(__xludf.DUMMYFUNCTION("IMPORTRANGE(""https://docs.google.com/spreadsheets/d/1QqKyyYR6Q21VydFLVH3TRQUabQu_ym0Zz7PgGX0-kHA/edit?usp=sharing"",""แผน!AC25"")"),4)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26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26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16910</v>
      </c>
      <c r="O198" s="155">
        <f ca="1">IF(L198&gt;0,N198*100/L198,0)</f>
        <v>65.038461538461533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IFERROR(__xludf.DUMMYFUNCTION("IMPORTRANGE(""https://docs.google.com/spreadsheets/d/1QqKyyYR6Q21VydFLVH3TRQUabQu_ym0Zz7PgGX0-kHA/edit?usp=sharing"",""แผน!AE25"")"),2000)</f>
        <v>2000</v>
      </c>
      <c r="M199" s="466"/>
      <c r="N199" s="801">
        <v>910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IFERROR(__xludf.DUMMYFUNCTION("IMPORTRANGE(""https://docs.google.com/spreadsheets/d/1QqKyyYR6Q21VydFLVH3TRQUabQu_ym0Zz7PgGX0-kHA/edit?usp=sharing"",""แผน!AF25"")"),16000)</f>
        <v>16000</v>
      </c>
      <c r="M200" s="466"/>
      <c r="N200" s="801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IFERROR(__xludf.DUMMYFUNCTION("IMPORTRANGE(""https://docs.google.com/spreadsheets/d/1QqKyyYR6Q21VydFLVH3TRQUabQu_ym0Zz7PgGX0-kHA/edit?usp=sharing"",""แผน!AG25"")"),8000)</f>
        <v>8000</v>
      </c>
      <c r="M201" s="466"/>
      <c r="N201" s="801"/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IFERROR(__xludf.DUMMYFUNCTION("IMPORTRANGE(""https://docs.google.com/spreadsheets/d/1QqKyyYR6Q21VydFLVH3TRQUabQu_ym0Zz7PgGX0-kHA/edit?usp=sharing"",""แผน!AH25"")"),0)</f>
        <v>0</v>
      </c>
      <c r="M202" s="466"/>
      <c r="N202" s="801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IFERROR(__xludf.DUMMYFUNCTION("IMPORTRANGE(""https://docs.google.com/spreadsheets/d/1QqKyyYR6Q21VydFLVH3TRQUabQu_ym0Zz7PgGX0-kHA/edit?usp=sharing"",""แผน!AI25"")"),2)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IFERROR(__xludf.DUMMYFUNCTION("IMPORTRANGE(""https://docs.google.com/spreadsheets/d/1QqKyyYR6Q21VydFLVH3TRQUabQu_ym0Zz7PgGX0-kHA/edit?usp=sharing"",""แผน!AK25"")"),0)</f>
        <v>0</v>
      </c>
      <c r="M210" s="466"/>
      <c r="N210" s="801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IFERROR(__xludf.DUMMYFUNCTION("IMPORTRANGE(""https://docs.google.com/spreadsheets/d/1QqKyyYR6Q21VydFLVH3TRQUabQu_ym0Zz7PgGX0-kHA/edit?usp=sharing"",""แผน!AL25"")"),0)</f>
        <v>0</v>
      </c>
      <c r="M211" s="466"/>
      <c r="N211" s="801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IFERROR(__xludf.DUMMYFUNCTION("IMPORTRANGE(""https://docs.google.com/spreadsheets/d/1QqKyyYR6Q21VydFLVH3TRQUabQu_ym0Zz7PgGX0-kHA/edit?usp=sharing"",""แผน!AM25"")"),0)</f>
        <v>0</v>
      </c>
      <c r="M212" s="466"/>
      <c r="N212" s="801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IFERROR(__xludf.DUMMYFUNCTION("IMPORTRANGE(""https://docs.google.com/spreadsheets/d/1QqKyyYR6Q21VydFLVH3TRQUabQu_ym0Zz7PgGX0-kHA/edit?usp=sharing"",""แผน!AN25"")"),0)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IFERROR(__xludf.DUMMYFUNCTION("IMPORTRANGE(""https://docs.google.com/spreadsheets/d/1QqKyyYR6Q21VydFLVH3TRQUabQu_ym0Zz7PgGX0-kHA/edit?usp=sharing"",""แผน!AN25"")"),0)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46500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IFERROR(__xludf.DUMMYFUNCTION("IMPORTRANGE(""https://docs.google.com/spreadsheets/d/1QqKyyYR6Q21VydFLVH3TRQUabQu_ym0Zz7PgGX0-kHA/edit?usp=sharing"",""แผน!AP25"")"),8000)</f>
        <v>8000</v>
      </c>
      <c r="M218" s="466"/>
      <c r="N218" s="801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IFERROR(__xludf.DUMMYFUNCTION("IMPORTRANGE(""https://docs.google.com/spreadsheets/d/1QqKyyYR6Q21VydFLVH3TRQUabQu_ym0Zz7PgGX0-kHA/edit?usp=sharing"",""แผน!AQ25"")"),38500)</f>
        <v>38500</v>
      </c>
      <c r="M219" s="466"/>
      <c r="N219" s="801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IFERROR(__xludf.DUMMYFUNCTION("IMPORTRANGE(""https://docs.google.com/spreadsheets/d/1QqKyyYR6Q21VydFLVH3TRQUabQu_ym0Zz7PgGX0-kHA/edit?usp=sharing"",""แผน!AR25"")"),0)</f>
        <v>0</v>
      </c>
      <c r="M220" s="466"/>
      <c r="N220" s="801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IFERROR(__xludf.DUMMYFUNCTION("IMPORTRANGE(""https://docs.google.com/spreadsheets/d/1QqKyyYR6Q21VydFLVH3TRQUabQu_ym0Zz7PgGX0-kHA/edit?usp=sharing"",""แผน!AT25"")"),150000)</f>
        <v>150000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IFERROR(__xludf.DUMMYFUNCTION("IMPORTRANGE(""https://docs.google.com/spreadsheets/d/1QqKyyYR6Q21VydFLVH3TRQUabQu_ym0Zz7PgGX0-kHA/edit?usp=sharing"",""แผน!AT25"")"),150000)</f>
        <v>150000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IFERROR(__xludf.DUMMYFUNCTION("IMPORTRANGE(""https://docs.google.com/spreadsheets/d/1QqKyyYR6Q21VydFLVH3TRQUabQu_ym0Zz7PgGX0-kHA/edit?usp=sharing"",""แผน!AS25"")"),0)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5">I237+I248</f>
        <v>0</v>
      </c>
      <c r="J226" s="821">
        <f t="shared" si="105"/>
        <v>0</v>
      </c>
      <c r="K226" s="82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6">L238+L249</f>
        <v>0</v>
      </c>
      <c r="M227" s="831"/>
      <c r="N227" s="831">
        <f t="shared" ref="N227:N231" si="107">N238+N249</f>
        <v>0</v>
      </c>
      <c r="O227" s="832"/>
      <c r="P227" s="83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35"/>
      <c r="R229" s="835"/>
      <c r="S229" s="835"/>
      <c r="T229" s="835"/>
      <c r="U229" s="835"/>
      <c r="V229" s="835"/>
      <c r="W229" s="835"/>
      <c r="X229" s="835"/>
      <c r="Y229" s="835"/>
      <c r="Z229" s="835"/>
    </row>
    <row r="230" spans="1:2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35"/>
      <c r="R230" s="835"/>
      <c r="S230" s="835"/>
      <c r="T230" s="835"/>
      <c r="U230" s="835"/>
      <c r="V230" s="835"/>
      <c r="W230" s="835"/>
      <c r="X230" s="835"/>
      <c r="Y230" s="835"/>
      <c r="Z230" s="835"/>
    </row>
    <row r="231" spans="1:2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35"/>
      <c r="R231" s="835"/>
      <c r="S231" s="835"/>
      <c r="T231" s="835"/>
      <c r="U231" s="835"/>
      <c r="V231" s="835"/>
      <c r="W231" s="835"/>
      <c r="X231" s="835"/>
      <c r="Y231" s="835"/>
      <c r="Z231" s="835"/>
    </row>
    <row r="232" spans="1:2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IFERROR(__xludf.DUMMYFUNCTION("IMPORTRANGE(""https://docs.google.com/spreadsheets/d/1QqKyyYR6Q21VydFLVH3TRQUabQu_ym0Zz7PgGX0-kHA/edit?usp=sharing"",""แผน!AV25"")"),0)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IFERROR(__xludf.DUMMYFUNCTION("IMPORTRANGE(""https://docs.google.com/spreadsheets/d/1QqKyyYR6Q21VydFLVH3TRQUabQu_ym0Zz7PgGX0-kHA/edit?usp=sharing"",""แผน!AW25"")"),0)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IFERROR(__xludf.DUMMYFUNCTION("IMPORTRANGE(""https://docs.google.com/spreadsheets/d/1QqKyyYR6Q21VydFLVH3TRQUabQu_ym0Zz7PgGX0-kHA/edit?usp=sharing"",""แผน!AX25"")"),0)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IFERROR(__xludf.DUMMYFUNCTION("IMPORTRANGE(""https://docs.google.com/spreadsheets/d/1QqKyyYR6Q21VydFLVH3TRQUabQu_ym0Zz7PgGX0-kHA/edit?usp=sharing"",""แผน!AY25"")"),0)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IFERROR(__xludf.DUMMYFUNCTION("IMPORTRANGE(""https://docs.google.com/spreadsheets/d/1QqKyyYR6Q21VydFLVH3TRQUabQu_ym0Zz7PgGX0-kHA/edit?usp=sharing"",""แผน!BE25"")"),0)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IFERROR(__xludf.DUMMYFUNCTION("IMPORTRANGE(""https://docs.google.com/spreadsheets/d/1QqKyyYR6Q21VydFLVH3TRQUabQu_ym0Zz7PgGX0-kHA/edit?usp=sharing"",""แผน!AZ25"")"),0)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IFERROR(__xludf.DUMMYFUNCTION("IMPORTRANGE(""https://docs.google.com/spreadsheets/d/1QqKyyYR6Q21VydFLVH3TRQUabQu_ym0Zz7PgGX0-kHA/edit?usp=sharing"",""แผน!BA25"")"),0)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IFERROR(__xludf.DUMMYFUNCTION("IMPORTRANGE(""https://docs.google.com/spreadsheets/d/1QqKyyYR6Q21VydFLVH3TRQUabQu_ym0Zz7PgGX0-kHA/edit?usp=sharing"",""แผน!BB25"")"),0)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IFERROR(__xludf.DUMMYFUNCTION("IMPORTRANGE(""https://docs.google.com/spreadsheets/d/1QqKyyYR6Q21VydFLVH3TRQUabQu_ym0Zz7PgGX0-kHA/edit?usp=sharing"",""แผน!BC25"")"),0)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IFERROR(__xludf.DUMMYFUNCTION("IMPORTRANGE(""https://docs.google.com/spreadsheets/d/1QqKyyYR6Q21VydFLVH3TRQUabQu_ym0Zz7PgGX0-kHA/edit?usp=sharing"",""แผน!BF25"")"),0)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22000</v>
      </c>
      <c r="O261" s="155">
        <f t="shared" ref="O261:O269" ca="1" si="117">IF(L261&gt;0,N261*100/L261,0)</f>
        <v>88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22000</v>
      </c>
      <c r="O263" s="93">
        <f t="shared" ca="1" si="117"/>
        <v>88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0">L265+L266</f>
        <v>25000</v>
      </c>
      <c r="M264" s="466">
        <f t="shared" ca="1" si="120"/>
        <v>22000</v>
      </c>
      <c r="N264" s="466">
        <f t="shared" ca="1" si="120"/>
        <v>22000</v>
      </c>
      <c r="O264" s="466">
        <f t="shared" ca="1" si="117"/>
        <v>88</v>
      </c>
      <c r="P264" s="466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IFERROR(__xludf.DUMMYFUNCTION("IMPORTRANGE(""https://docs.google.com/spreadsheets/d/1MeEWN-I1oV_STSDYn1IFDPWt_1FKiwhDph83XaGc0o0/edit?usp=sharing"",""งบพรบ!CY25"")"),25000)</f>
        <v>25000</v>
      </c>
      <c r="M266" s="93">
        <f ca="1">IFERROR(__xludf.DUMMYFUNCTION("IMPORTRANGE(""https://docs.google.com/spreadsheets/d/1MeEWN-I1oV_STSDYn1IFDPWt_1FKiwhDph83XaGc0o0/edit?usp=sharing"",""งบพรบ!DD25"")"),22000)</f>
        <v>22000</v>
      </c>
      <c r="N266" s="93">
        <f ca="1">IFERROR(__xludf.DUMMYFUNCTION("IMPORTRANGE(""https://docs.google.com/spreadsheets/d/1MeEWN-I1oV_STSDYn1IFDPWt_1FKiwhDph83XaGc0o0/edit?usp=sharing"",""งบพรบ!DF25"")"),22000)</f>
        <v>22000</v>
      </c>
      <c r="O266" s="93">
        <f t="shared" ca="1" si="117"/>
        <v>88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IFERROR(__xludf.DUMMYFUNCTION("IMPORTRANGE(""https://docs.google.com/spreadsheets/d/1MeEWN-I1oV_STSDYn1IFDPWt_1FKiwhDph83XaGc0o0/edit?usp=sharing"",""งบพรบ!DB25"")"),0)</f>
        <v>0</v>
      </c>
      <c r="M269" s="93">
        <f ca="1">IFERROR(__xludf.DUMMYFUNCTION("IMPORTRANGE(""https://docs.google.com/spreadsheets/d/1MeEWN-I1oV_STSDYn1IFDPWt_1FKiwhDph83XaGc0o0/edit?usp=sharing"",""งบพรบ!DE25"")"),0)</f>
        <v>0</v>
      </c>
      <c r="N269" s="93">
        <f ca="1">IFERROR(__xludf.DUMMYFUNCTION("IMPORTRANGE(""https://docs.google.com/spreadsheets/d/1MeEWN-I1oV_STSDYn1IFDPWt_1FKiwhDph83XaGc0o0/edit?usp=sharing"",""งบพรบ!DG25"")"),0)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IFERROR(__xludf.DUMMYFUNCTION("IMPORTRANGE(""https://docs.google.com/spreadsheets/d/1QqKyyYR6Q21VydFLVH3TRQUabQu_ym0Zz7PgGX0-kHA/edit?usp=sharing"",""แผน!EA25"")"),20)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 hidden="1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 hidden="1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 hidden="1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 hidden="1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62">
        <f t="shared" ref="I276:J276" ca="1" si="124">I287</f>
        <v>0</v>
      </c>
      <c r="J276" s="862">
        <f t="shared" si="124"/>
        <v>0</v>
      </c>
      <c r="K276" s="377">
        <f t="shared" ca="1" si="123"/>
        <v>0</v>
      </c>
      <c r="L276" s="377"/>
      <c r="M276" s="377"/>
      <c r="N276" s="377"/>
      <c r="O276" s="377"/>
      <c r="P276" s="377"/>
    </row>
    <row r="277" spans="1:26" ht="19.5" hidden="1">
      <c r="A277" s="147"/>
      <c r="B277" s="148"/>
      <c r="C277" s="149" t="s">
        <v>16</v>
      </c>
      <c r="D277" s="84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29">L281+L282</f>
        <v>0</v>
      </c>
      <c r="M280" s="466">
        <f t="shared" ca="1" si="129"/>
        <v>0</v>
      </c>
      <c r="N280" s="466">
        <f t="shared" ca="1" si="129"/>
        <v>0</v>
      </c>
      <c r="O280" s="466">
        <f t="shared" ca="1" si="126"/>
        <v>0</v>
      </c>
      <c r="P280" s="46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IFERROR(__xludf.DUMMYFUNCTION("IMPORTRANGE(""https://docs.google.com/spreadsheets/d/1MeEWN-I1oV_STSDYn1IFDPWt_1FKiwhDph83XaGc0o0/edit?usp=sharing"",""งบพรบ!DI25"")"),0)</f>
        <v>0</v>
      </c>
      <c r="M282" s="93">
        <f ca="1">IFERROR(__xludf.DUMMYFUNCTION("IMPORTRANGE(""https://docs.google.com/spreadsheets/d/1MeEWN-I1oV_STSDYn1IFDPWt_1FKiwhDph83XaGc0o0/edit?usp=sharing"",""งบพรบ!DN25"")"),0)</f>
        <v>0</v>
      </c>
      <c r="N282" s="93">
        <f ca="1">IFERROR(__xludf.DUMMYFUNCTION("IMPORTRANGE(""https://docs.google.com/spreadsheets/d/1MeEWN-I1oV_STSDYn1IFDPWt_1FKiwhDph83XaGc0o0/edit?usp=sharing"",""งบพรบ!DP25"")"),0)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IFERROR(__xludf.DUMMYFUNCTION("IMPORTRANGE(""https://docs.google.com/spreadsheets/d/1MeEWN-I1oV_STSDYn1IFDPWt_1FKiwhDph83XaGc0o0/edit?usp=sharing"",""งบพรบ!DL25"")"),0)</f>
        <v>0</v>
      </c>
      <c r="M285" s="93">
        <f ca="1">IFERROR(__xludf.DUMMYFUNCTION("IMPORTRANGE(""https://docs.google.com/spreadsheets/d/1MeEWN-I1oV_STSDYn1IFDPWt_1FKiwhDph83XaGc0o0/edit?usp=sharing"",""งบพรบ!DO25"")"),0)</f>
        <v>0</v>
      </c>
      <c r="N285" s="93">
        <f ca="1">IFERROR(__xludf.DUMMYFUNCTION("IMPORTRANGE(""https://docs.google.com/spreadsheets/d/1MeEWN-I1oV_STSDYn1IFDPWt_1FKiwhDph83XaGc0o0/edit?usp=sharing"",""งบพรบ!DQ25"")"),0)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IFERROR(__xludf.DUMMYFUNCTION("IMPORTRANGE(""https://docs.google.com/spreadsheets/d/1QqKyyYR6Q21VydFLVH3TRQUabQu_ym0Zz7PgGX0-kHA/edit?usp=sharing"",""แผน!EC25"")"),0)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IFERROR(__xludf.DUMMYFUNCTION("IMPORTRANGE(""https://docs.google.com/spreadsheets/d/1QqKyyYR6Q21VydFLVH3TRQUabQu_ym0Zz7PgGX0-kHA/edit?usp=sharing"",""แผน!EB25"")"),0)</f>
        <v>0</v>
      </c>
      <c r="J288" s="648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IFERROR(__xludf.DUMMYFUNCTION("IMPORTRANGE(""https://docs.google.com/spreadsheets/d/1QqKyyYR6Q21VydFLVH3TRQUabQu_ym0Zz7PgGX0-kHA/edit?usp=sharing"",""แผน!EB25"")"),0)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343"/>
      <c r="E291" s="593" t="s">
        <v>348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IFERROR(__xludf.DUMMYFUNCTION("IMPORTRANGE(""https://docs.google.com/spreadsheets/d/1QqKyyYR6Q21VydFLVH3TRQUabQu_ym0Zz7PgGX0-kHA/edit?usp=sharing"",""แผน!EB25"")"),0)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IFERROR(__xludf.DUMMYFUNCTION("IMPORTRANGE(""https://docs.google.com/spreadsheets/d/1QqKyyYR6Q21VydFLVH3TRQUabQu_ym0Zz7PgGX0-kHA/edit?usp=sharing"",""แผน!EB25"")"),0)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47"/>
      <c r="B294" s="348"/>
      <c r="C294" s="348"/>
      <c r="D294" s="350"/>
      <c r="E294" s="701" t="s">
        <v>348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IFERROR(__xludf.DUMMYFUNCTION("IMPORTRANGE(""https://docs.google.com/spreadsheets/d/1QqKyyYR6Q21VydFLVH3TRQUabQu_ym0Zz7PgGX0-kHA/edit?usp=sharing"",""แผน!EB25"")"),0)</f>
        <v>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4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IFERROR(__xludf.DUMMYFUNCTION("IMPORTRANGE(""https://docs.google.com/spreadsheets/d/1MeEWN-I1oV_STSDYn1IFDPWt_1FKiwhDph83XaGc0o0/edit?usp=sharing"",""งบพรบ!DS25"")"),0)</f>
        <v>0</v>
      </c>
      <c r="M303" s="93">
        <f ca="1">IFERROR(__xludf.DUMMYFUNCTION("IMPORTRANGE(""https://docs.google.com/spreadsheets/d/1MeEWN-I1oV_STSDYn1IFDPWt_1FKiwhDph83XaGc0o0/edit?usp=sharing"",""งบพรบ!DX25"")"),0)</f>
        <v>0</v>
      </c>
      <c r="N303" s="93">
        <f ca="1">IFERROR(__xludf.DUMMYFUNCTION("IMPORTRANGE(""https://docs.google.com/spreadsheets/d/1MeEWN-I1oV_STSDYn1IFDPWt_1FKiwhDph83XaGc0o0/edit?usp=sharing"",""งบพรบ!DZ25"")"),0)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IFERROR(__xludf.DUMMYFUNCTION("IMPORTRANGE(""https://docs.google.com/spreadsheets/d/1MeEWN-I1oV_STSDYn1IFDPWt_1FKiwhDph83XaGc0o0/edit?usp=sharing"",""งบพรบ!DV25"")"),0)</f>
        <v>0</v>
      </c>
      <c r="M306" s="93">
        <f ca="1">IFERROR(__xludf.DUMMYFUNCTION("IMPORTRANGE(""https://docs.google.com/spreadsheets/d/1MeEWN-I1oV_STSDYn1IFDPWt_1FKiwhDph83XaGc0o0/edit?usp=sharing"",""งบพรบ!DY25"")"),0)</f>
        <v>0</v>
      </c>
      <c r="N306" s="93">
        <f ca="1">IFERROR(__xludf.DUMMYFUNCTION("IMPORTRANGE(""https://docs.google.com/spreadsheets/d/1MeEWN-I1oV_STSDYn1IFDPWt_1FKiwhDph83XaGc0o0/edit?usp=sharing"",""งบพรบ!EA25"")"),0)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IFERROR(__xludf.DUMMYFUNCTION("IMPORTRANGE(""https://docs.google.com/spreadsheets/d/1QqKyyYR6Q21VydFLVH3TRQUabQu_ym0Zz7PgGX0-kHA/edit?usp=sharing"",""แผน!ED25"")"),0)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IFERROR(__xludf.DUMMYFUNCTION("IMPORTRANGE(""https://docs.google.com/spreadsheets/d/1QqKyyYR6Q21VydFLVH3TRQUabQu_ym0Zz7PgGX0-kHA/edit?usp=sharing"",""แผน!ED25"")"),0)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IFERROR(__xludf.DUMMYFUNCTION("IMPORTRANGE(""https://docs.google.com/spreadsheets/d/1QqKyyYR6Q21VydFLVH3TRQUabQu_ym0Zz7PgGX0-kHA/edit?usp=sharing"",""แผน!ED25"")"),0)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IFERROR(__xludf.DUMMYFUNCTION("IMPORTRANGE(""https://docs.google.com/spreadsheets/d/1QqKyyYR6Q21VydFLVH3TRQUabQu_ym0Zz7PgGX0-kHA/edit?usp=sharing"",""แผน!EE25"")"),0)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4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IFERROR(__xludf.DUMMYFUNCTION("IMPORTRANGE(""https://docs.google.com/spreadsheets/d/1MeEWN-I1oV_STSDYn1IFDPWt_1FKiwhDph83XaGc0o0/edit?usp=sharing"",""งบพรบ!EC25"")"),0)</f>
        <v>0</v>
      </c>
      <c r="M320" s="93">
        <f ca="1">IFERROR(__xludf.DUMMYFUNCTION("IMPORTRANGE(""https://docs.google.com/spreadsheets/d/1MeEWN-I1oV_STSDYn1IFDPWt_1FKiwhDph83XaGc0o0/edit?usp=sharing"",""งบพรบ!EH25"")"),0)</f>
        <v>0</v>
      </c>
      <c r="N320" s="93">
        <f ca="1">IFERROR(__xludf.DUMMYFUNCTION("IMPORTRANGE(""https://docs.google.com/spreadsheets/d/1MeEWN-I1oV_STSDYn1IFDPWt_1FKiwhDph83XaGc0o0/edit?usp=sharing"",""งบพรบ!EJ25"")"),0)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IFERROR(__xludf.DUMMYFUNCTION("IMPORTRANGE(""https://docs.google.com/spreadsheets/d/1MeEWN-I1oV_STSDYn1IFDPWt_1FKiwhDph83XaGc0o0/edit?usp=sharing"",""งบพรบ!EF25"")"),0)</f>
        <v>0</v>
      </c>
      <c r="M323" s="93">
        <f ca="1">IFERROR(__xludf.DUMMYFUNCTION("IMPORTRANGE(""https://docs.google.com/spreadsheets/d/1MeEWN-I1oV_STSDYn1IFDPWt_1FKiwhDph83XaGc0o0/edit?usp=sharing"",""งบพรบ!EI25"")"),0)</f>
        <v>0</v>
      </c>
      <c r="N323" s="93">
        <f ca="1">IFERROR(__xludf.DUMMYFUNCTION("IMPORTRANGE(""https://docs.google.com/spreadsheets/d/1MeEWN-I1oV_STSDYn1IFDPWt_1FKiwhDph83XaGc0o0/edit?usp=sharing"",""งบพรบ!EK25"")"),0)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IFERROR(__xludf.DUMMYFUNCTION("IMPORTRANGE(""https://docs.google.com/spreadsheets/d/1QqKyyYR6Q21VydFLVH3TRQUabQu_ym0Zz7PgGX0-kHA/edit?usp=sharing"",""แผน!EF25"")"),0)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IFERROR(__xludf.DUMMYFUNCTION("IMPORTRANGE(""https://docs.google.com/spreadsheets/d/1QqKyyYR6Q21VydFLVH3TRQUabQu_ym0Zz7PgGX0-kHA/edit?usp=sharing"",""แผน!EG25"")"),400)</f>
        <v>400</v>
      </c>
      <c r="J327" s="413">
        <f ca="1">J338+J341+J342+J343</f>
        <v>204</v>
      </c>
      <c r="K327" s="414">
        <f ca="1">IF(I327&gt;0,J327*100/I327,0)</f>
        <v>51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4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165000</v>
      </c>
      <c r="M328" s="155">
        <f t="shared" ca="1" si="149"/>
        <v>123750</v>
      </c>
      <c r="N328" s="155">
        <f t="shared" ca="1" si="149"/>
        <v>56168</v>
      </c>
      <c r="O328" s="155">
        <f t="shared" ref="O328:O336" ca="1" si="150">IF(L328&gt;0,N328*100/L328,0)</f>
        <v>34.041212121212119</v>
      </c>
      <c r="P328" s="155">
        <f t="shared" ref="P328:P336" ca="1" si="151">IF(M328&gt;0,N328*100/M328,0)</f>
        <v>45.388282828282826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165000</v>
      </c>
      <c r="M330" s="93">
        <f t="shared" ca="1" si="152"/>
        <v>123750</v>
      </c>
      <c r="N330" s="93">
        <f t="shared" ca="1" si="152"/>
        <v>56168</v>
      </c>
      <c r="O330" s="93">
        <f t="shared" ca="1" si="150"/>
        <v>34.041212121212119</v>
      </c>
      <c r="P330" s="93">
        <f t="shared" ca="1" si="151"/>
        <v>45.388282828282826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3">L332+L333</f>
        <v>165000</v>
      </c>
      <c r="M331" s="466">
        <f t="shared" ca="1" si="153"/>
        <v>123750</v>
      </c>
      <c r="N331" s="466">
        <f t="shared" ca="1" si="153"/>
        <v>56168</v>
      </c>
      <c r="O331" s="466">
        <f t="shared" ca="1" si="150"/>
        <v>34.041212121212119</v>
      </c>
      <c r="P331" s="466">
        <f t="shared" ca="1" si="151"/>
        <v>45.388282828282826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IFERROR(__xludf.DUMMYFUNCTION("IMPORTRANGE(""https://docs.google.com/spreadsheets/d/1MeEWN-I1oV_STSDYn1IFDPWt_1FKiwhDph83XaGc0o0/edit?usp=sharing"",""งบพรบ!EM25"")"),165000)</f>
        <v>165000</v>
      </c>
      <c r="M333" s="93">
        <f ca="1">IFERROR(__xludf.DUMMYFUNCTION("IMPORTRANGE(""https://docs.google.com/spreadsheets/d/1MeEWN-I1oV_STSDYn1IFDPWt_1FKiwhDph83XaGc0o0/edit?usp=sharing"",""งบพรบ!ER25"")"),123750)</f>
        <v>123750</v>
      </c>
      <c r="N333" s="93">
        <f ca="1">IFERROR(__xludf.DUMMYFUNCTION("IMPORTRANGE(""https://docs.google.com/spreadsheets/d/1MeEWN-I1oV_STSDYn1IFDPWt_1FKiwhDph83XaGc0o0/edit?usp=sharing"",""งบพรบ!ET25"")"),56168)</f>
        <v>56168</v>
      </c>
      <c r="O333" s="93">
        <f t="shared" ca="1" si="150"/>
        <v>34.041212121212119</v>
      </c>
      <c r="P333" s="93">
        <f t="shared" ca="1" si="151"/>
        <v>45.388282828282826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IFERROR(__xludf.DUMMYFUNCTION("IMPORTRANGE(""https://docs.google.com/spreadsheets/d/1MeEWN-I1oV_STSDYn1IFDPWt_1FKiwhDph83XaGc0o0/edit?usp=sharing"",""งบพรบ!EP25"")"),0)</f>
        <v>0</v>
      </c>
      <c r="M336" s="93">
        <f ca="1">IFERROR(__xludf.DUMMYFUNCTION("IMPORTRANGE(""https://docs.google.com/spreadsheets/d/1MeEWN-I1oV_STSDYn1IFDPWt_1FKiwhDph83XaGc0o0/edit?usp=sharing"",""งบพรบ!ES25"")"),0)</f>
        <v>0</v>
      </c>
      <c r="N336" s="93">
        <f ca="1">IFERROR(__xludf.DUMMYFUNCTION("IMPORTRANGE(""https://docs.google.com/spreadsheets/d/1MeEWN-I1oV_STSDYn1IFDPWt_1FKiwhDph83XaGc0o0/edit?usp=sharing"",""งบพรบ!EU25"")"),0)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IFERROR(__xludf.DUMMYFUNCTION("IMPORTRANGE(""https://docs.google.com/spreadsheets/d/1QqKyyYR6Q21VydFLVH3TRQUabQu_ym0Zz7PgGX0-kHA/edit?usp=sharing"",""แผน!EG25"")"),400)</f>
        <v>400</v>
      </c>
      <c r="J338" s="270">
        <f ca="1">IFERROR(__xludf.DUMMYFUNCTION("IMPORTRANGE(""https://docs.google.com/spreadsheets/d/1kVcqe37tkHyjCSG3S0O1AXqVkqjo8mSIZil3BcpIysc/edit?usp=sharing"",""ศูนย์!D25"")"),34)</f>
        <v>34</v>
      </c>
      <c r="K338" s="466">
        <f ca="1">IF(I338&gt;0,J338*100/I338,0)</f>
        <v>8.5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IFERROR(__xludf.DUMMYFUNCTION("IMPORTRANGE(""https://docs.google.com/spreadsheets/d/1QqKyyYR6Q21VydFLVH3TRQUabQu_ym0Zz7PgGX0-kHA/edit?usp=sharing"",""แผน!EH25"")"),6)</f>
        <v>6</v>
      </c>
      <c r="J340" s="270">
        <f ca="1">IFERROR(__xludf.DUMMYFUNCTION("IMPORTRANGE(""https://docs.google.com/spreadsheets/d/1kVcqe37tkHyjCSG3S0O1AXqVkqjo8mSIZil3BcpIysc/edit?usp=sharing"",""ศูนย์!E25"")"),3)</f>
        <v>3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IFERROR(__xludf.DUMMYFUNCTION("IMPORTRANGE(""https://docs.google.com/spreadsheets/d/1kVcqe37tkHyjCSG3S0O1AXqVkqjo8mSIZil3BcpIysc/edit?usp=sharing"",""ศูนย์!F25"")"),154)</f>
        <v>154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IFERROR(__xludf.DUMMYFUNCTION("IMPORTRANGE(""https://docs.google.com/spreadsheets/d/1kVcqe37tkHyjCSG3S0O1AXqVkqjo8mSIZil3BcpIysc/edit?usp=sharing"",""ศูนย์!G25"")"),0)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IFERROR(__xludf.DUMMYFUNCTION("IMPORTRANGE(""https://docs.google.com/spreadsheets/d/1kVcqe37tkHyjCSG3S0O1AXqVkqjo8mSIZil3BcpIysc/edit?usp=sharing"",""ศูนย์!H25"")"),16)</f>
        <v>16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4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835790</v>
      </c>
      <c r="M345" s="155">
        <f t="shared" ca="1" si="155"/>
        <v>627050</v>
      </c>
      <c r="N345" s="155">
        <f t="shared" ca="1" si="155"/>
        <v>334971</v>
      </c>
      <c r="O345" s="155">
        <f t="shared" ref="O345:O353" ca="1" si="156">IF(L345&gt;0,N345*100/L345,0)</f>
        <v>40.078368968281509</v>
      </c>
      <c r="P345" s="155">
        <f t="shared" ref="P345:P353" ca="1" si="157">IF(M345&gt;0,N345*100/M345,0)</f>
        <v>53.420141934454989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835790</v>
      </c>
      <c r="M347" s="93">
        <f t="shared" ca="1" si="158"/>
        <v>627050</v>
      </c>
      <c r="N347" s="93">
        <f t="shared" ca="1" si="158"/>
        <v>334971</v>
      </c>
      <c r="O347" s="93">
        <f t="shared" ca="1" si="156"/>
        <v>40.078368968281509</v>
      </c>
      <c r="P347" s="93">
        <f t="shared" ca="1" si="157"/>
        <v>53.420141934454989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59">L349+L350</f>
        <v>775790</v>
      </c>
      <c r="M348" s="466">
        <f t="shared" ca="1" si="159"/>
        <v>567050</v>
      </c>
      <c r="N348" s="466">
        <f t="shared" ca="1" si="159"/>
        <v>274971</v>
      </c>
      <c r="O348" s="466">
        <f t="shared" ca="1" si="156"/>
        <v>35.443999020353445</v>
      </c>
      <c r="P348" s="466">
        <f t="shared" ca="1" si="157"/>
        <v>48.491491050171945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IFERROR(__xludf.DUMMYFUNCTION("IMPORTRANGE(""https://docs.google.com/spreadsheets/d/1MeEWN-I1oV_STSDYn1IFDPWt_1FKiwhDph83XaGc0o0/edit?usp=sharing"",""งบพรบ!EW25"")"),775790)</f>
        <v>775790</v>
      </c>
      <c r="M350" s="93">
        <f ca="1">IFERROR(__xludf.DUMMYFUNCTION("IMPORTRANGE(""https://docs.google.com/spreadsheets/d/1MeEWN-I1oV_STSDYn1IFDPWt_1FKiwhDph83XaGc0o0/edit?usp=sharing"",""งบพรบ!FB25"")"),567050)</f>
        <v>567050</v>
      </c>
      <c r="N350" s="93">
        <f ca="1">IFERROR(__xludf.DUMMYFUNCTION("IMPORTRANGE(""https://docs.google.com/spreadsheets/d/1MeEWN-I1oV_STSDYn1IFDPWt_1FKiwhDph83XaGc0o0/edit?usp=sharing"",""งบพรบ!FD25"")"),274971)</f>
        <v>274971</v>
      </c>
      <c r="O350" s="93">
        <f t="shared" ca="1" si="156"/>
        <v>35.443999020353445</v>
      </c>
      <c r="P350" s="93">
        <f t="shared" ca="1" si="157"/>
        <v>48.491491050171945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60000</v>
      </c>
      <c r="M351" s="466">
        <f t="shared" ca="1" si="160"/>
        <v>60000</v>
      </c>
      <c r="N351" s="466">
        <f t="shared" ca="1" si="160"/>
        <v>60000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IFERROR(__xludf.DUMMYFUNCTION("IMPORTRANGE(""https://docs.google.com/spreadsheets/d/1MeEWN-I1oV_STSDYn1IFDPWt_1FKiwhDph83XaGc0o0/edit?usp=sharing"",""งบพรบ!EZ25"")"),60000)</f>
        <v>60000</v>
      </c>
      <c r="M353" s="93">
        <f ca="1">IFERROR(__xludf.DUMMYFUNCTION("IMPORTRANGE(""https://docs.google.com/spreadsheets/d/1MeEWN-I1oV_STSDYn1IFDPWt_1FKiwhDph83XaGc0o0/edit?usp=sharing"",""งบพรบ!FC25"")"),60000)</f>
        <v>60000</v>
      </c>
      <c r="N353" s="93">
        <f ca="1">IFERROR(__xludf.DUMMYFUNCTION("IMPORTRANGE(""https://docs.google.com/spreadsheets/d/1MeEWN-I1oV_STSDYn1IFDPWt_1FKiwhDph83XaGc0o0/edit?usp=sharing"",""งบพรบ!FE25"")"),60000)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IFERROR(__xludf.DUMMYFUNCTION("IMPORTRANGE(""https://docs.google.com/spreadsheets/d/1QqKyyYR6Q21VydFLVH3TRQUabQu_ym0Zz7PgGX0-kHA/edit?usp=sharing"",""แผน!EP25"")"),59)</f>
        <v>59</v>
      </c>
      <c r="J355" s="433">
        <f ca="1">J362</f>
        <v>6</v>
      </c>
      <c r="K355" s="434">
        <f ca="1">IF(I355&gt;0,J355*100/I355,0)</f>
        <v>10.169491525423728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IFERROR(__xludf.DUMMYFUNCTION("IMPORTRANGE(""https://docs.google.com/spreadsheets/d/1XWAQStnk-4SwqDmLtmXYiTMKHgktTP8We1SCoS47DrQ/edit?usp=sharing"",""จัดที่ดิน!W25"")"),7)</f>
        <v>7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IFERROR(__xludf.DUMMYFUNCTION("IMPORTRANGE(""https://docs.google.com/spreadsheets/d/1QqKyyYR6Q21VydFLVH3TRQUabQu_ym0Zz7PgGX0-kHA/edit?usp=sharing"",""แผน!EO25"")"),390)</f>
        <v>390</v>
      </c>
      <c r="J359" s="270">
        <f ca="1">IFERROR(__xludf.DUMMYFUNCTION("IMPORTRANGE(""https://docs.google.com/spreadsheets/d/1XWAQStnk-4SwqDmLtmXYiTMKHgktTP8We1SCoS47DrQ/edit?usp=sharing"",""จัดที่ดิน!X25"")"),8.78)</f>
        <v>8.7799999999999994</v>
      </c>
      <c r="K359" s="466">
        <f t="shared" ca="1" si="161"/>
        <v>2.2512820512820508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IFERROR(__xludf.DUMMYFUNCTION("IMPORTRANGE(""https://docs.google.com/spreadsheets/d/1QqKyyYR6Q21VydFLVH3TRQUabQu_ym0Zz7PgGX0-kHA/edit?usp=sharing"",""แผน!EP25"")"),59)</f>
        <v>59</v>
      </c>
      <c r="J360" s="270">
        <f ca="1">IFERROR(__xludf.DUMMYFUNCTION("IMPORTRANGE(""https://docs.google.com/spreadsheets/d/1XWAQStnk-4SwqDmLtmXYiTMKHgktTP8We1SCoS47DrQ/edit?usp=sharing"",""จัดที่ดิน!Y25"")"),7)</f>
        <v>7</v>
      </c>
      <c r="K360" s="466">
        <f t="shared" ca="1" si="161"/>
        <v>11.864406779661017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IFERROR(__xludf.DUMMYFUNCTION("IMPORTRANGE(""https://docs.google.com/spreadsheets/d/1XWAQStnk-4SwqDmLtmXYiTMKHgktTP8We1SCoS47DrQ/edit?usp=sharing"",""จัดที่ดิน!Z25"")"),8.78)</f>
        <v>8.7799999999999994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IFERROR(__xludf.DUMMYFUNCTION("IMPORTRANGE(""https://docs.google.com/spreadsheets/d/1QqKyyYR6Q21VydFLVH3TRQUabQu_ym0Zz7PgGX0-kHA/edit?usp=sharing"",""แผน!EP25"")"),59)</f>
        <v>59</v>
      </c>
      <c r="J362" s="270">
        <f ca="1">IFERROR(__xludf.DUMMYFUNCTION("IMPORTRANGE(""https://docs.google.com/spreadsheets/d/1XWAQStnk-4SwqDmLtmXYiTMKHgktTP8We1SCoS47DrQ/edit?usp=sharing"",""จัดที่ดิน!AA25"")"),6)</f>
        <v>6</v>
      </c>
      <c r="K362" s="466">
        <f t="shared" ca="1" si="161"/>
        <v>10.169491525423728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IFERROR(__xludf.DUMMYFUNCTION("IMPORTRANGE(""https://docs.google.com/spreadsheets/d/1XWAQStnk-4SwqDmLtmXYiTMKHgktTP8We1SCoS47DrQ/edit?usp=sharing"",""จัดที่ดิน!AB25"")"),8.08)</f>
        <v>8.08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119</v>
      </c>
      <c r="J364" s="447">
        <f t="shared" ca="1" si="162"/>
        <v>19</v>
      </c>
      <c r="K364" s="448">
        <f t="shared" ca="1" si="161"/>
        <v>15.966386554621849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IFERROR(__xludf.DUMMYFUNCTION("IMPORTRANGE(""https://docs.google.com/spreadsheets/d/1QqKyyYR6Q21VydFLVH3TRQUabQu_ym0Zz7PgGX0-kHA/edit?usp=sharing"",""แผน!EJ25"")"),18)</f>
        <v>18</v>
      </c>
      <c r="J365" s="459">
        <f ca="1">J372</f>
        <v>6</v>
      </c>
      <c r="K365" s="460">
        <f t="shared" ca="1" si="161"/>
        <v>33.333333333333336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IFERROR(__xludf.DUMMYFUNCTION("IMPORTRANGE(""https://docs.google.com/spreadsheets/d/1XWAQStnk-4SwqDmLtmXYiTMKHgktTP8We1SCoS47DrQ/edit?usp=sharing"",""จัดที่ดิน!E25"")"),7)</f>
        <v>7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IFERROR(__xludf.DUMMYFUNCTION("IMPORTRANGE(""https://docs.google.com/spreadsheets/d/1QqKyyYR6Q21VydFLVH3TRQUabQu_ym0Zz7PgGX0-kHA/edit?usp=sharing"",""แผน!EI25"")"),90)</f>
        <v>90</v>
      </c>
      <c r="J369" s="270">
        <f ca="1">IFERROR(__xludf.DUMMYFUNCTION("IMPORTRANGE(""https://docs.google.com/spreadsheets/d/1XWAQStnk-4SwqDmLtmXYiTMKHgktTP8We1SCoS47DrQ/edit?usp=sharing"",""จัดที่ดิน!F25"")"),8.78)</f>
        <v>8.7799999999999994</v>
      </c>
      <c r="K369" s="466">
        <f t="shared" ca="1" si="163"/>
        <v>9.7555555555555546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IFERROR(__xludf.DUMMYFUNCTION("IMPORTRANGE(""https://docs.google.com/spreadsheets/d/1QqKyyYR6Q21VydFLVH3TRQUabQu_ym0Zz7PgGX0-kHA/edit?usp=sharing"",""แผน!EJ25"")"),18)</f>
        <v>18</v>
      </c>
      <c r="J370" s="270">
        <f ca="1">IFERROR(__xludf.DUMMYFUNCTION("IMPORTRANGE(""https://docs.google.com/spreadsheets/d/1XWAQStnk-4SwqDmLtmXYiTMKHgktTP8We1SCoS47DrQ/edit?usp=sharing"",""จัดที่ดิน!G25"")"),7)</f>
        <v>7</v>
      </c>
      <c r="K370" s="466">
        <f t="shared" ca="1" si="163"/>
        <v>38.888888888888886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IFERROR(__xludf.DUMMYFUNCTION("IMPORTRANGE(""https://docs.google.com/spreadsheets/d/1XWAQStnk-4SwqDmLtmXYiTMKHgktTP8We1SCoS47DrQ/edit?usp=sharing"",""จัดที่ดิน!H25"")"),8.78)</f>
        <v>8.7799999999999994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IFERROR(__xludf.DUMMYFUNCTION("IMPORTRANGE(""https://docs.google.com/spreadsheets/d/1QqKyyYR6Q21VydFLVH3TRQUabQu_ym0Zz7PgGX0-kHA/edit?usp=sharing"",""แผน!EJ25"")"),18)</f>
        <v>18</v>
      </c>
      <c r="J372" s="270">
        <f ca="1">IFERROR(__xludf.DUMMYFUNCTION("IMPORTRANGE(""https://docs.google.com/spreadsheets/d/1XWAQStnk-4SwqDmLtmXYiTMKHgktTP8We1SCoS47DrQ/edit?usp=sharing"",""จัดที่ดิน!I25"")"),6)</f>
        <v>6</v>
      </c>
      <c r="K372" s="466">
        <f t="shared" ca="1" si="163"/>
        <v>33.333333333333336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IFERROR(__xludf.DUMMYFUNCTION("IMPORTRANGE(""https://docs.google.com/spreadsheets/d/1XWAQStnk-4SwqDmLtmXYiTMKHgktTP8We1SCoS47DrQ/edit?usp=sharing"",""จัดที่ดิน!J25"")"),8.08)</f>
        <v>8.08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IFERROR(__xludf.DUMMYFUNCTION("IMPORTRANGE(""https://docs.google.com/spreadsheets/d/1QqKyyYR6Q21VydFLVH3TRQUabQu_ym0Zz7PgGX0-kHA/edit?usp=sharing"",""แผน!EU25"")"),101)</f>
        <v>101</v>
      </c>
      <c r="J374" s="459">
        <f ca="1">J381</f>
        <v>13</v>
      </c>
      <c r="K374" s="460">
        <f t="shared" ca="1" si="163"/>
        <v>12.871287128712872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IFERROR(__xludf.DUMMYFUNCTION("IMPORTRANGE(""https://docs.google.com/spreadsheets/d/1XWAQStnk-4SwqDmLtmXYiTMKHgktTP8We1SCoS47DrQ/edit?usp=sharing"",""จัดที่ดิน!AH25"")"),0)</f>
        <v>0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IFERROR(__xludf.DUMMYFUNCTION("IMPORTRANGE(""https://docs.google.com/spreadsheets/d/1QqKyyYR6Q21VydFLVH3TRQUabQu_ym0Zz7PgGX0-kHA/edit?usp=sharing"",""แผน!ET25"")"),300)</f>
        <v>300</v>
      </c>
      <c r="J378" s="270">
        <f ca="1">IFERROR(__xludf.DUMMYFUNCTION("IMPORTRANGE(""https://docs.google.com/spreadsheets/d/1XWAQStnk-4SwqDmLtmXYiTMKHgktTP8We1SCoS47DrQ/edit?usp=sharing"",""จัดที่ดิน!AI25"")"),0)</f>
        <v>0</v>
      </c>
      <c r="K378" s="466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IFERROR(__xludf.DUMMYFUNCTION("IMPORTRANGE(""https://docs.google.com/spreadsheets/d/1QqKyyYR6Q21VydFLVH3TRQUabQu_ym0Zz7PgGX0-kHA/edit?usp=sharing"",""แผน!EU25"")"),101)</f>
        <v>101</v>
      </c>
      <c r="J379" s="270">
        <f ca="1">IFERROR(__xludf.DUMMYFUNCTION("IMPORTRANGE(""https://docs.google.com/spreadsheets/d/1XWAQStnk-4SwqDmLtmXYiTMKHgktTP8We1SCoS47DrQ/edit?usp=sharing"",""จัดที่ดิน!AJ25"")"),13)</f>
        <v>13</v>
      </c>
      <c r="K379" s="466">
        <f t="shared" ca="1" si="164"/>
        <v>12.871287128712872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IFERROR(__xludf.DUMMYFUNCTION("IMPORTRANGE(""https://docs.google.com/spreadsheets/d/1XWAQStnk-4SwqDmLtmXYiTMKHgktTP8We1SCoS47DrQ/edit?usp=sharing"",""จัดที่ดิน!AK25"")"),54.25)</f>
        <v>54.25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IFERROR(__xludf.DUMMYFUNCTION("IMPORTRANGE(""https://docs.google.com/spreadsheets/d/1QqKyyYR6Q21VydFLVH3TRQUabQu_ym0Zz7PgGX0-kHA/edit?usp=sharing"",""แผน!EU25"")"),101)</f>
        <v>101</v>
      </c>
      <c r="J381" s="270">
        <f ca="1">IFERROR(__xludf.DUMMYFUNCTION("IMPORTRANGE(""https://docs.google.com/spreadsheets/d/1XWAQStnk-4SwqDmLtmXYiTMKHgktTP8We1SCoS47DrQ/edit?usp=sharing"",""จัดที่ดิน!AL25"")"),13)</f>
        <v>13</v>
      </c>
      <c r="K381" s="466">
        <f t="shared" ca="1" si="164"/>
        <v>12.871287128712872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IFERROR(__xludf.DUMMYFUNCTION("IMPORTRANGE(""https://docs.google.com/spreadsheets/d/1XWAQStnk-4SwqDmLtmXYiTMKHgktTP8We1SCoS47DrQ/edit?usp=sharing"",""จัดที่ดิน!AM25"")"),54.25)</f>
        <v>54.25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IFERROR(__xludf.DUMMYFUNCTION("IMPORTRANGE(""https://docs.google.com/spreadsheets/d/1QqKyyYR6Q21VydFLVH3TRQUabQu_ym0Zz7PgGX0-kHA/edit?usp=sharing"",""แผน!EW25"")"),20)</f>
        <v>20</v>
      </c>
      <c r="J385" s="469">
        <f ca="1">IFERROR(__xludf.DUMMYFUNCTION("IMPORTRANGE(""https://docs.google.com/spreadsheets/d/1XWAQStnk-4SwqDmLtmXYiTMKHgktTP8We1SCoS47DrQ/edit?usp=sharing"",""จัดที่ดิน!AP25"")"),0)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4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IFERROR(__xludf.DUMMYFUNCTION("IMPORTRANGE(""https://docs.google.com/spreadsheets/d/1MeEWN-I1oV_STSDYn1IFDPWt_1FKiwhDph83XaGc0o0/edit?usp=sharing"",""งบพรบ!FG25"")"),0)</f>
        <v>0</v>
      </c>
      <c r="M394" s="93">
        <f ca="1">IFERROR(__xludf.DUMMYFUNCTION("IMPORTRANGE(""https://docs.google.com/spreadsheets/d/1MeEWN-I1oV_STSDYn1IFDPWt_1FKiwhDph83XaGc0o0/edit?usp=sharing"",""งบพรบ!FL25"")"),0)</f>
        <v>0</v>
      </c>
      <c r="N394" s="93">
        <f ca="1">IFERROR(__xludf.DUMMYFUNCTION("IMPORTRANGE(""https://docs.google.com/spreadsheets/d/1MeEWN-I1oV_STSDYn1IFDPWt_1FKiwhDph83XaGc0o0/edit?usp=sharing"",""งบพรบ!FN25"")"),0)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IFERROR(__xludf.DUMMYFUNCTION("IMPORTRANGE(""https://docs.google.com/spreadsheets/d/1MeEWN-I1oV_STSDYn1IFDPWt_1FKiwhDph83XaGc0o0/edit?usp=sharing"",""งบพรบ!FJ25"")"),0)</f>
        <v>0</v>
      </c>
      <c r="M397" s="93">
        <f ca="1">IFERROR(__xludf.DUMMYFUNCTION("IMPORTRANGE(""https://docs.google.com/spreadsheets/d/1MeEWN-I1oV_STSDYn1IFDPWt_1FKiwhDph83XaGc0o0/edit?usp=sharing"",""งบพรบ!FM25"")"),0)</f>
        <v>0</v>
      </c>
      <c r="N397" s="93">
        <f ca="1">IFERROR(__xludf.DUMMYFUNCTION("IMPORTRANGE(""https://docs.google.com/spreadsheets/d/1MeEWN-I1oV_STSDYn1IFDPWt_1FKiwhDph83XaGc0o0/edit?usp=sharing"",""งบพรบ!FO25"")"),0)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4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IFERROR(__xludf.DUMMYFUNCTION("IMPORTRANGE(""https://docs.google.com/spreadsheets/d/1MeEWN-I1oV_STSDYn1IFDPWt_1FKiwhDph83XaGc0o0/edit?usp=sharing"",""งบพรบ!FQ25"")"),0)</f>
        <v>0</v>
      </c>
      <c r="M407" s="93">
        <f ca="1">IFERROR(__xludf.DUMMYFUNCTION("IMPORTRANGE(""https://docs.google.com/spreadsheets/d/1MeEWN-I1oV_STSDYn1IFDPWt_1FKiwhDph83XaGc0o0/edit?usp=sharing"",""งบพรบ!FV25"")"),0)</f>
        <v>0</v>
      </c>
      <c r="N407" s="93">
        <f ca="1">IFERROR(__xludf.DUMMYFUNCTION("IMPORTRANGE(""https://docs.google.com/spreadsheets/d/1MeEWN-I1oV_STSDYn1IFDPWt_1FKiwhDph83XaGc0o0/edit?usp=sharing"",""งบพรบ!FX25"")"),0)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IFERROR(__xludf.DUMMYFUNCTION("IMPORTRANGE(""https://docs.google.com/spreadsheets/d/1MeEWN-I1oV_STSDYn1IFDPWt_1FKiwhDph83XaGc0o0/edit?usp=sharing"",""งบพรบ!FT25"")"),0)</f>
        <v>0</v>
      </c>
      <c r="M410" s="93">
        <f ca="1">IFERROR(__xludf.DUMMYFUNCTION("IMPORTRANGE(""https://docs.google.com/spreadsheets/d/1MeEWN-I1oV_STSDYn1IFDPWt_1FKiwhDph83XaGc0o0/edit?usp=sharing"",""งบพรบ!FW25"")"),0)</f>
        <v>0</v>
      </c>
      <c r="N410" s="93">
        <f ca="1">IFERROR(__xludf.DUMMYFUNCTION("IMPORTRANGE(""https://docs.google.com/spreadsheets/d/1MeEWN-I1oV_STSDYn1IFDPWt_1FKiwhDph83XaGc0o0/edit?usp=sharing"",""งบพรบ!FY25"")"),0)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854985</v>
      </c>
      <c r="M414" s="517">
        <f t="shared" si="181"/>
        <v>0</v>
      </c>
      <c r="N414" s="517">
        <f t="shared" si="181"/>
        <v>301298</v>
      </c>
      <c r="O414" s="517">
        <f ca="1">IF(L414&gt;0,N414*100/L414,0)</f>
        <v>35.240150411995529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25</v>
      </c>
      <c r="J417" s="533">
        <f t="shared" ca="1" si="182"/>
        <v>25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86860</v>
      </c>
      <c r="M419" s="155">
        <f t="shared" si="184"/>
        <v>0</v>
      </c>
      <c r="N419" s="155">
        <f t="shared" si="184"/>
        <v>58780</v>
      </c>
      <c r="O419" s="155">
        <f t="shared" ref="O419:O424" ca="1" si="185">IF(L419&gt;0,N419*100/L419,0)</f>
        <v>67.672116048814189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86860</v>
      </c>
      <c r="M421" s="93">
        <f t="shared" si="187"/>
        <v>0</v>
      </c>
      <c r="N421" s="93">
        <f t="shared" si="187"/>
        <v>58780</v>
      </c>
      <c r="O421" s="93">
        <f t="shared" ca="1" si="185"/>
        <v>67.672116048814189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8">L423+L424</f>
        <v>86860</v>
      </c>
      <c r="M422" s="466">
        <f t="shared" si="188"/>
        <v>0</v>
      </c>
      <c r="N422" s="466">
        <f t="shared" si="188"/>
        <v>58780</v>
      </c>
      <c r="O422" s="466">
        <f t="shared" ca="1" si="185"/>
        <v>67.672116048814189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IFERROR(__xludf.DUMMYFUNCTION("IMPORTRANGE(""https://docs.google.com/spreadsheets/d/1QqKyyYR6Q21VydFLVH3TRQUabQu_ym0Zz7PgGX0-kHA/edit?usp=sharing"",""แผน!EY25"")"),86860)</f>
        <v>86860</v>
      </c>
      <c r="M424" s="93">
        <v>0</v>
      </c>
      <c r="N424" s="93">
        <f>N425+N426+N427+N428</f>
        <v>58780</v>
      </c>
      <c r="O424" s="93">
        <f t="shared" ca="1" si="185"/>
        <v>67.672116048814189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v>56600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v>2180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25</v>
      </c>
      <c r="J433" s="648">
        <f ca="1">IF(AND(J435=I435,J437=I437,J439=I439),I437+I439,IF(AND(J435=I437,J437=I437),I437,IF(AND(J435=I439,J439=I439),I439,0)))</f>
        <v>25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t="shared" ref="I434:J434" ca="1" si="193">I438+I440</f>
        <v>1</v>
      </c>
      <c r="J434" s="648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IFERROR(__xludf.DUMMYFUNCTION("IMPORTRANGE(""https://docs.google.com/spreadsheets/d/1QqKyyYR6Q21VydFLVH3TRQUabQu_ym0Zz7PgGX0-kHA/edit?usp=sharing"",""แผน!FC25"")"),25)</f>
        <v>25</v>
      </c>
      <c r="J435" s="549">
        <v>25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IFERROR(__xludf.DUMMYFUNCTION("IMPORTRANGE(""https://docs.google.com/spreadsheets/d/1QqKyyYR6Q21VydFLVH3TRQUabQu_ym0Zz7PgGX0-kHA/edit?usp=sharing"",""แผน!FD25"")"),0)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IFERROR(__xludf.DUMMYFUNCTION("IMPORTRANGE(""https://docs.google.com/spreadsheets/d/1QqKyyYR6Q21VydFLVH3TRQUabQu_ym0Zz7PgGX0-kHA/edit?usp=sharing"",""แผน!FE25"")"),0)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IFERROR(__xludf.DUMMYFUNCTION("IMPORTRANGE(""https://docs.google.com/spreadsheets/d/1QqKyyYR6Q21VydFLVH3TRQUabQu_ym0Zz7PgGX0-kHA/edit?usp=sharing"",""แผน!FF25"")"),25)</f>
        <v>25</v>
      </c>
      <c r="J439" s="549">
        <v>25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IFERROR(__xludf.DUMMYFUNCTION("IMPORTRANGE(""https://docs.google.com/spreadsheets/d/1QqKyyYR6Q21VydFLVH3TRQUabQu_ym0Zz7PgGX0-kHA/edit?usp=sharing"",""แผน!FG25"")"),1)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IFERROR(__xludf.DUMMYFUNCTION("IMPORTRANGE(""https://docs.google.com/spreadsheets/d/1QqKyyYR6Q21VydFLVH3TRQUabQu_ym0Zz7PgGX0-kHA/edit?usp=sharing"",""แผน!FH25"")"),0)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50</v>
      </c>
      <c r="J442" s="555">
        <f t="shared" si="195"/>
        <v>50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110</v>
      </c>
      <c r="J443" s="533">
        <f t="shared" si="196"/>
        <v>110</v>
      </c>
      <c r="K443" s="534">
        <f t="shared" ca="1" si="194"/>
        <v>100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354800</v>
      </c>
      <c r="M444" s="195">
        <f t="shared" si="197"/>
        <v>0</v>
      </c>
      <c r="N444" s="195">
        <f t="shared" si="197"/>
        <v>225694</v>
      </c>
      <c r="O444" s="195">
        <f t="shared" ref="O444:O449" ca="1" si="198">IF(L444&gt;0,N444*100/L444,0)</f>
        <v>63.611612175873731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0"/>
        <v>354800</v>
      </c>
      <c r="M446" s="93">
        <f t="shared" si="200"/>
        <v>0</v>
      </c>
      <c r="N446" s="93">
        <f t="shared" si="200"/>
        <v>225694</v>
      </c>
      <c r="O446" s="93">
        <f t="shared" ca="1" si="198"/>
        <v>63.611612175873731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1">L448+L449</f>
        <v>354800</v>
      </c>
      <c r="M447" s="466">
        <f t="shared" si="201"/>
        <v>0</v>
      </c>
      <c r="N447" s="466">
        <f t="shared" si="201"/>
        <v>225694</v>
      </c>
      <c r="O447" s="466">
        <f t="shared" ca="1" si="198"/>
        <v>63.611612175873731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IFERROR(__xludf.DUMMYFUNCTION("IMPORTRANGE(""https://docs.google.com/spreadsheets/d/1QqKyyYR6Q21VydFLVH3TRQUabQu_ym0Zz7PgGX0-kHA/edit?usp=sharing"",""แผน!FJ25"")"),354800)</f>
        <v>354800</v>
      </c>
      <c r="M449" s="93">
        <v>0</v>
      </c>
      <c r="N449" s="93">
        <f>N450+N451+N452+N453</f>
        <v>225694</v>
      </c>
      <c r="O449" s="93">
        <f t="shared" ca="1" si="198"/>
        <v>63.611612175873731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v>66800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>
        <v>98000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v>37714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v>23180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IFERROR(__xludf.DUMMYFUNCTION("IMPORTRANGE(""https://docs.google.com/spreadsheets/d/1QqKyyYR6Q21VydFLVH3TRQUabQu_ym0Zz7PgGX0-kHA/edit?usp=sharing"",""แผน!FN25"")"),50)</f>
        <v>50</v>
      </c>
      <c r="J460" s="215">
        <v>50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IFERROR(__xludf.DUMMYFUNCTION("IMPORTRANGE(""https://docs.google.com/spreadsheets/d/1QqKyyYR6Q21VydFLVH3TRQUabQu_ym0Zz7PgGX0-kHA/edit?usp=sharing"",""แผน!FO25"")"),110)</f>
        <v>110</v>
      </c>
      <c r="J462" s="215">
        <v>110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IFERROR(__xludf.DUMMYFUNCTION("IMPORTRANGE(""https://docs.google.com/spreadsheets/d/1QqKyyYR6Q21VydFLVH3TRQUabQu_ym0Zz7PgGX0-kHA/edit?usp=sharing"",""แผน!FO25"")"),110)</f>
        <v>110</v>
      </c>
      <c r="J463" s="215">
        <v>110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IFERROR(__xludf.DUMMYFUNCTION("IMPORTRANGE(""https://docs.google.com/spreadsheets/d/1QqKyyYR6Q21VydFLVH3TRQUabQu_ym0Zz7PgGX0-kHA/edit?usp=sharing"",""แผน!FN25"")"),50)</f>
        <v>50</v>
      </c>
      <c r="J464" s="215">
        <v>50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IFERROR(__xludf.DUMMYFUNCTION("IMPORTRANGE(""https://docs.google.com/spreadsheets/d/1QqKyyYR6Q21VydFLVH3TRQUabQu_ym0Zz7PgGX0-kHA/edit?usp=sharing"",""แผน!FX25"")"),11)</f>
        <v>11</v>
      </c>
      <c r="J465" s="555">
        <f>J485+J489+J492</f>
        <v>0</v>
      </c>
      <c r="K465" s="556">
        <f t="shared" ref="K465:K466" ca="1" si="205">IF(I465&gt;0,J465*100/I465,0)</f>
        <v>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IFERROR(__xludf.DUMMYFUNCTION("IMPORTRANGE(""https://docs.google.com/spreadsheets/d/1QqKyyYR6Q21VydFLVH3TRQUabQu_ym0Zz7PgGX0-kHA/edit?usp=sharing"",""แผน!FW25"")"),100)</f>
        <v>100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112825</v>
      </c>
      <c r="M467" s="195">
        <f t="shared" si="206"/>
        <v>0</v>
      </c>
      <c r="N467" s="195">
        <f t="shared" si="206"/>
        <v>16824</v>
      </c>
      <c r="O467" s="195">
        <f t="shared" ref="O467:O472" ca="1" si="207">IF(L467&gt;0,N467*100/L467,0)</f>
        <v>14.911588743629515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09"/>
        <v>112825</v>
      </c>
      <c r="M469" s="93">
        <f t="shared" si="209"/>
        <v>0</v>
      </c>
      <c r="N469" s="93">
        <f t="shared" si="209"/>
        <v>16824</v>
      </c>
      <c r="O469" s="93">
        <f t="shared" ca="1" si="207"/>
        <v>14.911588743629515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0">L471+L472</f>
        <v>112825</v>
      </c>
      <c r="M470" s="466">
        <f t="shared" si="210"/>
        <v>0</v>
      </c>
      <c r="N470" s="466">
        <f t="shared" si="210"/>
        <v>16824</v>
      </c>
      <c r="O470" s="466">
        <f t="shared" ca="1" si="207"/>
        <v>14.911588743629515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IFERROR(__xludf.DUMMYFUNCTION("IMPORTRANGE(""https://docs.google.com/spreadsheets/d/1QqKyyYR6Q21VydFLVH3TRQUabQu_ym0Zz7PgGX0-kHA/edit?usp=sharing"",""แผน!FS25"")"),112825)</f>
        <v>112825</v>
      </c>
      <c r="M472" s="93">
        <v>0</v>
      </c>
      <c r="N472" s="93">
        <f>N473+N474+N475+N476</f>
        <v>16824</v>
      </c>
      <c r="O472" s="93">
        <f t="shared" ca="1" si="207"/>
        <v>14.911588743629515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>
        <v>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v>16824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IFERROR(__xludf.DUMMYFUNCTION("IMPORTRANGE(""https://docs.google.com/spreadsheets/d/1QqKyyYR6Q21VydFLVH3TRQUabQu_ym0Zz7PgGX0-kHA/edit?usp=sharing"",""แผน!FY25"")"),90)</f>
        <v>90</v>
      </c>
      <c r="J483" s="215">
        <v>0</v>
      </c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IFERROR(__xludf.DUMMYFUNCTION("IMPORTRANGE(""https://docs.google.com/spreadsheets/d/1QqKyyYR6Q21VydFLVH3TRQUabQu_ym0Zz7PgGX0-kHA/edit?usp=sharing"",""แผน!FZ25"")"),9)</f>
        <v>9</v>
      </c>
      <c r="J485" s="215">
        <v>0</v>
      </c>
      <c r="K485" s="466">
        <f ca="1">IF(I485&gt;0,J485*100/I485,0)</f>
        <v>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IFERROR(__xludf.DUMMYFUNCTION("IMPORTRANGE(""https://docs.google.com/spreadsheets/d/1QqKyyYR6Q21VydFLVH3TRQUabQu_ym0Zz7PgGX0-kHA/edit?usp=sharing"",""แผน!GA25"")"),10)</f>
        <v>10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IFERROR(__xludf.DUMMYFUNCTION("IMPORTRANGE(""https://docs.google.com/spreadsheets/d/1QqKyyYR6Q21VydFLVH3TRQUabQu_ym0Zz7PgGX0-kHA/edit?usp=sharing"",""แผน!GB25"")"),1)</f>
        <v>1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IFERROR(__xludf.DUMMYFUNCTION("IMPORTRANGE(""https://docs.google.com/spreadsheets/d/1QqKyyYR6Q21VydFLVH3TRQUabQu_ym0Zz7PgGX0-kHA/edit?usp=sharing"",""แผน!GC25"")"),1)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IFERROR(__xludf.DUMMYFUNCTION("IMPORTRANGE(""https://docs.google.com/spreadsheets/d/1QqKyyYR6Q21VydFLVH3TRQUabQu_ym0Zz7PgGX0-kHA/edit?usp=sharing"",""แผน!FY25"")"),90)</f>
        <v>90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IFERROR(__xludf.DUMMYFUNCTION("IMPORTRANGE(""https://docs.google.com/spreadsheets/d/1QqKyyYR6Q21VydFLVH3TRQUabQu_ym0Zz7PgGX0-kHA/edit?usp=sharing"",""แผน!GA25"")"),10)</f>
        <v>10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6">L503+L504</f>
        <v>0</v>
      </c>
      <c r="M502" s="614">
        <f t="shared" si="216"/>
        <v>0</v>
      </c>
      <c r="N502" s="614">
        <f t="shared" si="216"/>
        <v>0</v>
      </c>
      <c r="O502" s="614">
        <f t="shared" ref="O502:O507" si="217">IF(L502&gt;0,N502*100/L502,0)</f>
        <v>0</v>
      </c>
      <c r="P502" s="614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6"/>
      <c r="D505" s="853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853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 hidden="1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5">I537</f>
        <v>0</v>
      </c>
      <c r="J522" s="675">
        <f t="shared" ca="1" si="225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IFERROR(__xludf.DUMMYFUNCTION("IMPORTRANGE(""https://docs.google.com/spreadsheets/d/1QqKyyYR6Q21VydFLVH3TRQUabQu_ym0Zz7PgGX0-kHA/edit?usp=sharing"",""แผน!GU25"")"),0)</f>
        <v>0</v>
      </c>
      <c r="J537" s="648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 hidden="1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IFERROR(__xludf.DUMMYFUNCTION("IMPORTRANGE(""https://docs.google.com/spreadsheets/d/1QqKyyYR6Q21VydFLVH3TRQUabQu_ym0Zz7PgGX0-kHA/edit?usp=sharing"",""แผน!GV25"")"),0)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 hidden="1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IFERROR(__xludf.DUMMYFUNCTION("IMPORTRANGE(""https://docs.google.com/spreadsheets/d/1QqKyyYR6Q21VydFLVH3TRQUabQu_ym0Zz7PgGX0-kHA/edit?usp=sharing"",""แผน!GW25"")"),0)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 hidden="1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IFERROR(__xludf.DUMMYFUNCTION("IMPORTRANGE(""https://docs.google.com/spreadsheets/d/1QqKyyYR6Q21VydFLVH3TRQUabQu_ym0Zz7PgGX0-kHA/edit?usp=sharing"",""แผน!GX25"")"),0)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 hidden="1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IFERROR(__xludf.DUMMYFUNCTION("IMPORTRANGE(""https://docs.google.com/spreadsheets/d/1QqKyyYR6Q21VydFLVH3TRQUabQu_ym0Zz7PgGX0-kHA/edit?usp=sharing"",""แผน!GY25"")"),0)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 hidden="1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IFERROR(__xludf.DUMMYFUNCTION("IMPORTRANGE(""https://docs.google.com/spreadsheets/d/1QqKyyYR6Q21VydFLVH3TRQUabQu_ym0Zz7PgGX0-kHA/edit?usp=sharing"",""แผน!GZ25"")"),0)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5">I559</f>
        <v>0</v>
      </c>
      <c r="J543" s="654">
        <f t="shared" si="235"/>
        <v>0</v>
      </c>
      <c r="K543" s="655">
        <f t="shared" ca="1" si="234"/>
        <v>0</v>
      </c>
      <c r="L543" s="637"/>
      <c r="M543" s="637"/>
      <c r="N543" s="637"/>
      <c r="O543" s="637"/>
      <c r="P543" s="637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6">L545+L546</f>
        <v>300500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39"/>
        <v>300500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1">L548+L549</f>
        <v>300500</v>
      </c>
      <c r="M547" s="466">
        <f t="shared" si="241"/>
        <v>0</v>
      </c>
      <c r="N547" s="466">
        <f t="shared" si="241"/>
        <v>0</v>
      </c>
      <c r="O547" s="466">
        <f t="shared" ca="1" si="237"/>
        <v>0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IFERROR(__xludf.DUMMYFUNCTION("IMPORTRANGE(""https://docs.google.com/spreadsheets/d/1QqKyyYR6Q21VydFLVH3TRQUabQu_ym0Zz7PgGX0-kHA/edit?usp=sharing"",""แผน!HB25"")"),300500)</f>
        <v>300500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801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801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801">
        <v>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801">
        <v>0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 hidden="1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5">I576</f>
        <v>0</v>
      </c>
      <c r="J559" s="675">
        <f t="shared" si="245"/>
        <v>0</v>
      </c>
      <c r="K559" s="644">
        <f t="shared" ref="K559:K561" ca="1" si="246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 hidden="1">
      <c r="A560" s="573"/>
      <c r="B560" s="585"/>
      <c r="C560" s="592" t="s">
        <v>235</v>
      </c>
      <c r="D560" s="585"/>
      <c r="E560" s="593"/>
      <c r="F560" s="593"/>
      <c r="G560" s="729"/>
      <c r="H560" s="734" t="s">
        <v>46</v>
      </c>
      <c r="I560" s="193">
        <f ca="1">IFERROR(__xludf.DUMMYFUNCTION("IMPORTRANGE(""https://docs.google.com/spreadsheets/d/1QqKyyYR6Q21VydFLVH3TRQUabQu_ym0Zz7PgGX0-kHA/edit?usp=sharing"",""แผน!HH25"")"),0)</f>
        <v>0</v>
      </c>
      <c r="J560" s="193">
        <f t="shared" ref="J560:J561" si="247">J562+J564+J566</f>
        <v>0</v>
      </c>
      <c r="K560" s="380">
        <f t="shared" ca="1" si="246"/>
        <v>0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 hidden="1">
      <c r="A561" s="573"/>
      <c r="B561" s="585"/>
      <c r="C561" s="585"/>
      <c r="D561" s="593"/>
      <c r="E561" s="593"/>
      <c r="F561" s="593"/>
      <c r="G561" s="729"/>
      <c r="H561" s="734" t="s">
        <v>34</v>
      </c>
      <c r="I561" s="193">
        <f ca="1">IFERROR(__xludf.DUMMYFUNCTION("IMPORTRANGE(""https://docs.google.com/spreadsheets/d/1QqKyyYR6Q21VydFLVH3TRQUabQu_ym0Zz7PgGX0-kHA/edit?usp=sharing"",""แผน!HG25"")"),0)</f>
        <v>0</v>
      </c>
      <c r="J561" s="193">
        <f t="shared" si="247"/>
        <v>0</v>
      </c>
      <c r="K561" s="380">
        <f t="shared" ca="1" si="246"/>
        <v>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 hidden="1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 hidden="1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 hidden="1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 hidden="1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 hidden="1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 hidden="1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 hidden="1">
      <c r="A568" s="573"/>
      <c r="B568" s="585"/>
      <c r="C568" s="592" t="s">
        <v>239</v>
      </c>
      <c r="D568" s="593"/>
      <c r="E568" s="593"/>
      <c r="F568" s="593"/>
      <c r="G568" s="729"/>
      <c r="H568" s="734" t="s">
        <v>46</v>
      </c>
      <c r="I568" s="193">
        <f ca="1">IFERROR(__xludf.DUMMYFUNCTION("IMPORTRANGE(""https://docs.google.com/spreadsheets/d/1QqKyyYR6Q21VydFLVH3TRQUabQu_ym0Zz7PgGX0-kHA/edit?usp=sharing"",""แผน!HH25"")"),0)</f>
        <v>0</v>
      </c>
      <c r="J568" s="648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 hidden="1">
      <c r="A569" s="573"/>
      <c r="B569" s="585"/>
      <c r="C569" s="585"/>
      <c r="D569" s="585"/>
      <c r="E569" s="593"/>
      <c r="F569" s="593"/>
      <c r="G569" s="729"/>
      <c r="H569" s="734" t="s">
        <v>34</v>
      </c>
      <c r="I569" s="193">
        <f ca="1">IFERROR(__xludf.DUMMYFUNCTION("IMPORTRANGE(""https://docs.google.com/spreadsheets/d/1QqKyyYR6Q21VydFLVH3TRQUabQu_ym0Zz7PgGX0-kHA/edit?usp=sharing"",""แผน!HG25"")"),0)</f>
        <v>0</v>
      </c>
      <c r="J569" s="648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 hidden="1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 hidden="1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 hidden="1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 hidden="1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 hidden="1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 hidden="1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 hidden="1">
      <c r="A576" s="573"/>
      <c r="B576" s="585"/>
      <c r="C576" s="592" t="s">
        <v>243</v>
      </c>
      <c r="D576" s="585"/>
      <c r="E576" s="585"/>
      <c r="F576" s="593"/>
      <c r="G576" s="729"/>
      <c r="H576" s="734" t="s">
        <v>46</v>
      </c>
      <c r="I576" s="193">
        <f ca="1">IFERROR(__xludf.DUMMYFUNCTION("IMPORTRANGE(""https://docs.google.com/spreadsheets/d/1QqKyyYR6Q21VydFLVH3TRQUabQu_ym0Zz7PgGX0-kHA/edit?usp=sharing"",""แผน!HH25"")"),0)</f>
        <v>0</v>
      </c>
      <c r="J576" s="648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 hidden="1">
      <c r="A577" s="573"/>
      <c r="B577" s="585"/>
      <c r="C577" s="585"/>
      <c r="D577" s="585"/>
      <c r="E577" s="593"/>
      <c r="F577" s="593"/>
      <c r="G577" s="729"/>
      <c r="H577" s="734" t="s">
        <v>34</v>
      </c>
      <c r="I577" s="193">
        <f ca="1">IFERROR(__xludf.DUMMYFUNCTION("IMPORTRANGE(""https://docs.google.com/spreadsheets/d/1QqKyyYR6Q21VydFLVH3TRQUabQu_ym0Zz7PgGX0-kHA/edit?usp=sharing"",""แผน!HG25"")"),0)</f>
        <v>0</v>
      </c>
      <c r="J577" s="648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 hidden="1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 hidden="1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 hidden="1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 hidden="1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 hidden="1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 hidden="1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 hidden="1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 hidden="1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 hidden="1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 hidden="1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 hidden="1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 hidden="1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 hidden="1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 hidden="1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3">I593</f>
        <v>1174.1199999999999</v>
      </c>
      <c r="J592" s="675">
        <f t="shared" si="253"/>
        <v>0</v>
      </c>
      <c r="K592" s="644">
        <f t="shared" ref="K592:K594" ca="1" si="254">IF(I592&gt;0,J592*100/I592,0)</f>
        <v>0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IFERROR(__xludf.DUMMYFUNCTION("IMPORTRANGE(""https://docs.google.com/spreadsheets/d/1QqKyyYR6Q21VydFLVH3TRQUabQu_ym0Zz7PgGX0-kHA/edit?usp=sharing"",""แผน!HJ25"")"),1174.12)</f>
        <v>1174.1199999999999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IFERROR(__xludf.DUMMYFUNCTION("IMPORTRANGE(""https://docs.google.com/spreadsheets/d/1QqKyyYR6Q21VydFLVH3TRQUabQu_ym0Zz7PgGX0-kHA/edit?usp=sharing"",""แผน!HI25"")"),295)</f>
        <v>295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 hidden="1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8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59">J614+J616</f>
        <v>0</v>
      </c>
      <c r="K612" s="684">
        <f t="shared" si="258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59"/>
        <v>0</v>
      </c>
      <c r="K613" s="684">
        <f t="shared" si="258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 hidden="1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IFERROR(__xludf.DUMMYFUNCTION("IMPORTRANGE(""https://docs.google.com/spreadsheets/d/1QqKyyYR6Q21VydFLVH3TRQUabQu_ym0Zz7PgGX0-kHA/edit?usp=sharing"",""แผน!HL25"")"),0)</f>
        <v>0</v>
      </c>
      <c r="J620" s="695">
        <f t="shared" ref="J620:J621" si="260">J622+J624+J626</f>
        <v>0</v>
      </c>
      <c r="K620" s="696">
        <f t="shared" ref="K620:K621" ca="1" si="261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 hidden="1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IFERROR(__xludf.DUMMYFUNCTION("IMPORTRANGE(""https://docs.google.com/spreadsheets/d/1QqKyyYR6Q21VydFLVH3TRQUabQu_ym0Zz7PgGX0-kHA/edit?usp=sharing"",""แผน!HK25"")"),0)</f>
        <v>0</v>
      </c>
      <c r="J621" s="695">
        <f t="shared" si="260"/>
        <v>0</v>
      </c>
      <c r="K621" s="696">
        <f t="shared" ca="1" si="261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 hidden="1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 hidden="1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 hidden="1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 hidden="1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 hidden="1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 hidden="1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 hidden="1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262">I651</f>
        <v>0</v>
      </c>
      <c r="J628" s="708">
        <f t="shared" ca="1" si="262"/>
        <v>0</v>
      </c>
      <c r="K628" s="709">
        <f ca="1">IF(I628&gt;0,J628*100/I628,0)</f>
        <v>0</v>
      </c>
      <c r="L628" s="710"/>
      <c r="M628" s="710"/>
      <c r="N628" s="710"/>
      <c r="O628" s="710"/>
      <c r="P628" s="710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 hidden="1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 hidden="1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7">L633+L634</f>
        <v>0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 hidden="1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 hidden="1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 hidden="1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 hidden="1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v>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 hidden="1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 hidden="1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 hidden="1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IFERROR(__xludf.DUMMYFUNCTION("IMPORTRANGE(""https://docs.google.com/spreadsheets/d/1QqKyyYR6Q21VydFLVH3TRQUabQu_ym0Zz7PgGX0-kHA/edit?usp=sharing"",""แผน!HR25"")"),0)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 hidden="1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IFERROR(__xludf.DUMMYFUNCTION("IMPORTRANGE(""https://docs.google.com/spreadsheets/d/1QqKyyYR6Q21VydFLVH3TRQUabQu_ym0Zz7PgGX0-kHA/edit?usp=sharing"",""แผน!HR25"")"),0)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 hidden="1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IFERROR(__xludf.DUMMYFUNCTION("IMPORTRANGE(""https://docs.google.com/spreadsheets/d/1XWAQStnk-4SwqDmLtmXYiTMKHgktTP8We1SCoS47DrQ/edit?usp=sharing"",""จัดที่ดิน!AS25"")"),0)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 hidden="1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IFERROR(__xludf.DUMMYFUNCTION("IMPORTRANGE(""https://docs.google.com/spreadsheets/d/1XWAQStnk-4SwqDmLtmXYiTMKHgktTP8We1SCoS47DrQ/edit?usp=sharing"",""จัดที่ดิน!AT25"")"),0)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 hidden="1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IFERROR(__xludf.DUMMYFUNCTION("IMPORTRANGE(""https://docs.google.com/spreadsheets/d/1QqKyyYR6Q21VydFLVH3TRQUabQu_ym0Zz7PgGX0-kHA/edit?usp=sharing"",""แผน!HS25"")"),0)</f>
        <v>0</v>
      </c>
      <c r="J647" s="270">
        <f ca="1">IFERROR(__xludf.DUMMYFUNCTION("IMPORTRANGE(""https://docs.google.com/spreadsheets/d/1XWAQStnk-4SwqDmLtmXYiTMKHgktTP8We1SCoS47DrQ/edit?usp=sharing"",""จัดที่ดิน!AU25"")"),0)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 hidden="1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IFERROR(__xludf.DUMMYFUNCTION("IMPORTRANGE(""https://docs.google.com/spreadsheets/d/1XWAQStnk-4SwqDmLtmXYiTMKHgktTP8We1SCoS47DrQ/edit?usp=sharing"",""จัดที่ดิน!AV25"")"),0)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 hidden="1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IFERROR(__xludf.DUMMYFUNCTION("IMPORTRANGE(""https://docs.google.com/spreadsheets/d/1QqKyyYR6Q21VydFLVH3TRQUabQu_ym0Zz7PgGX0-kHA/edit?usp=sharing"",""แผน!HS25"")"),0)</f>
        <v>0</v>
      </c>
      <c r="J649" s="270">
        <f ca="1">IFERROR(__xludf.DUMMYFUNCTION("IMPORTRANGE(""https://docs.google.com/spreadsheets/d/1XWAQStnk-4SwqDmLtmXYiTMKHgktTP8We1SCoS47DrQ/edit?usp=sharing"",""จัดที่ดิน!AW25"")"),0)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 hidden="1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IFERROR(__xludf.DUMMYFUNCTION("IMPORTRANGE(""https://docs.google.com/spreadsheets/d/1XWAQStnk-4SwqDmLtmXYiTMKHgktTP8We1SCoS47DrQ/edit?usp=sharing"",""จัดที่ดิน!AX25"")"),0)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 hidden="1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IFERROR(__xludf.DUMMYFUNCTION("IMPORTRANGE(""https://docs.google.com/spreadsheets/d/1QqKyyYR6Q21VydFLVH3TRQUabQu_ym0Zz7PgGX0-kHA/edit?usp=sharing"",""แผน!HS25"")"),0)</f>
        <v>0</v>
      </c>
      <c r="J651" s="270">
        <f ca="1">IFERROR(__xludf.DUMMYFUNCTION("IMPORTRANGE(""https://docs.google.com/spreadsheets/d/1XWAQStnk-4SwqDmLtmXYiTMKHgktTP8We1SCoS47DrQ/edit?usp=sharing"",""จัดที่ดิน!AY25"")"),0)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 hidden="1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IFERROR(__xludf.DUMMYFUNCTION("IMPORTRANGE(""https://docs.google.com/spreadsheets/d/1XWAQStnk-4SwqDmLtmXYiTMKHgktTP8We1SCoS47DrQ/edit?usp=sharing"",""จัดที่ดิน!AZ25"")"),0)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 hidden="1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 hidden="1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2">I669</f>
        <v>0</v>
      </c>
      <c r="J654" s="675">
        <f t="shared" si="27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 hidden="1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 hidden="1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 hidden="1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 hidden="1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 hidden="1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 hidden="1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 hidden="1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 hidden="1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 hidden="1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IFERROR(__xludf.DUMMYFUNCTION("IMPORTRANGE(""https://docs.google.com/spreadsheets/d/1QqKyyYR6Q21VydFLVH3TRQUabQu_ym0Zz7PgGX0-kHA/edit?usp=sharing"",""แผน!IA25"")"),0)</f>
        <v>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 hidden="1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IFERROR(__xludf.DUMMYFUNCTION("IMPORTRANGE(""https://docs.google.com/spreadsheets/d/1QqKyyYR6Q21VydFLVH3TRQUabQu_ym0Zz7PgGX0-kHA/edit?usp=sharing"",""แผน!HZ25"")"),0)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 hidden="1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IFERROR(__xludf.DUMMYFUNCTION("IMPORTRANGE(""https://docs.google.com/spreadsheets/d/1QqKyyYR6Q21VydFLVH3TRQUabQu_ym0Zz7PgGX0-kHA/edit?usp=sharing"",""แผน!HZ25"")"),0)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 hidden="1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 hidden="1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 hidden="1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 hidden="1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 hidden="1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 hidden="1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 hidden="1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IFERROR(__xludf.DUMMYFUNCTION("IMPORTRANGE(""https://docs.google.com/spreadsheets/d/1QqKyyYR6Q21VydFLVH3TRQUabQu_ym0Zz7PgGX0-kHA/edit?usp=sharing"",""แผน!IB25"")"),0)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 hidden="1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 hidden="1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 hidden="1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 hidden="1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 hidden="1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 hidden="1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 hidden="1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 hidden="1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 hidden="1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 hidden="1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 hidden="1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 hidden="1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 hidden="1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 hidden="1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 hidden="1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IFERROR(__xludf.DUMMYFUNCTION("IMPORTRANGE(""https://docs.google.com/spreadsheets/d/1QqKyyYR6Q21VydFLVH3TRQUabQu_ym0Zz7PgGX0-kHA/edit?usp=sharing"",""แผน!IC25"")"),0)</f>
        <v>0</v>
      </c>
      <c r="J699" s="270">
        <f ca="1">IFERROR(__xludf.DUMMYFUNCTION("IMPORTRANGE(""https://docs.google.com/spreadsheets/d/1XWAQStnk-4SwqDmLtmXYiTMKHgktTP8We1SCoS47DrQ/edit?usp=sharing"",""จัดที่ดิน!BB25"")"),0)</f>
        <v>0</v>
      </c>
      <c r="K699" s="466">
        <f t="shared" ref="K699:K701" ca="1" si="290">IF(I699&gt;0,J699*100/I699,0)</f>
        <v>0</v>
      </c>
      <c r="L699" s="466"/>
      <c r="M699" s="189"/>
      <c r="N699" s="733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 hidden="1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IFERROR(__xludf.DUMMYFUNCTION("IMPORTRANGE(""https://docs.google.com/spreadsheets/d/1QqKyyYR6Q21VydFLVH3TRQUabQu_ym0Zz7PgGX0-kHA/edit?usp=sharing"",""แผน!ID25"")"),0)</f>
        <v>0</v>
      </c>
      <c r="J700" s="270">
        <f ca="1">IFERROR(__xludf.DUMMYFUNCTION("IMPORTRANGE(""https://docs.google.com/spreadsheets/d/1XWAQStnk-4SwqDmLtmXYiTMKHgktTP8We1SCoS47DrQ/edit?usp=sharing"",""จัดที่ดิน!BD25"")"),0)</f>
        <v>0</v>
      </c>
      <c r="K700" s="466">
        <f t="shared" ca="1" si="290"/>
        <v>0</v>
      </c>
      <c r="L700" s="466"/>
      <c r="M700" s="189"/>
      <c r="N700" s="733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 hidden="1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IFERROR(__xludf.DUMMYFUNCTION("IMPORTRANGE(""https://docs.google.com/spreadsheets/d/1QqKyyYR6Q21VydFLVH3TRQUabQu_ym0Zz7PgGX0-kHA/edit?usp=sharing"",""แผน!IE25"")"),0)</f>
        <v>0</v>
      </c>
      <c r="J701" s="648">
        <f>J704+J707</f>
        <v>0</v>
      </c>
      <c r="K701" s="195">
        <f t="shared" ca="1" si="290"/>
        <v>0</v>
      </c>
      <c r="L701" s="466"/>
      <c r="M701" s="189"/>
      <c r="N701" s="733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 hidden="1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 hidden="1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 hidden="1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IFERROR(__xludf.DUMMYFUNCTION("IMPORTRANGE(""https://docs.google.com/spreadsheets/d/1QqKyyYR6Q21VydFLVH3TRQUabQu_ym0Zz7PgGX0-kHA/edit?usp=sharing"",""แผน!IF25"")"),0)</f>
        <v>0</v>
      </c>
      <c r="J704" s="215">
        <v>0</v>
      </c>
      <c r="K704" s="466"/>
      <c r="L704" s="466"/>
      <c r="M704" s="189"/>
      <c r="N704" s="733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 hidden="1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0</v>
      </c>
      <c r="K705" s="466"/>
      <c r="L705" s="466"/>
      <c r="M705" s="189"/>
      <c r="N705" s="733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 hidden="1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0</v>
      </c>
      <c r="K706" s="466"/>
      <c r="L706" s="466"/>
      <c r="M706" s="189"/>
      <c r="N706" s="733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 hidden="1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IFERROR(__xludf.DUMMYFUNCTION("IMPORTRANGE(""https://docs.google.com/spreadsheets/d/1QqKyyYR6Q21VydFLVH3TRQUabQu_ym0Zz7PgGX0-kHA/edit?usp=sharing"",""แผน!IG25"")"),0)</f>
        <v>0</v>
      </c>
      <c r="J707" s="215">
        <v>0</v>
      </c>
      <c r="K707" s="466"/>
      <c r="L707" s="466"/>
      <c r="M707" s="189"/>
      <c r="N707" s="733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 hidden="1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IFERROR(__xludf.DUMMYFUNCTION("IMPORTRANGE(""https://docs.google.com/spreadsheets/d/1QqKyyYR6Q21VydFLVH3TRQUabQu_ym0Zz7PgGX0-kHA/edit?usp=sharing"",""แผน!IH25"")"),0)</f>
        <v>0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 hidden="1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 hidden="1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 hidden="1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 hidden="1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 hidden="1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 hidden="1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 hidden="1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 hidden="1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 hidden="1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 hidden="1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IFERROR(__xludf.DUMMYFUNCTION("IMPORTRANGE(""https://docs.google.com/spreadsheets/d/1XWAQStnk-4SwqDmLtmXYiTMKHgktTP8We1SCoS47DrQ/edit?usp=sharing"",""จัดที่ดิน!BF25"")"),0)</f>
        <v>0</v>
      </c>
      <c r="K718" s="466"/>
      <c r="L718" s="466"/>
      <c r="M718" s="189"/>
      <c r="N718" s="733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 hidden="1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IFERROR(__xludf.DUMMYFUNCTION("IMPORTRANGE(""https://docs.google.com/spreadsheets/d/1XWAQStnk-4SwqDmLtmXYiTMKHgktTP8We1SCoS47DrQ/edit?usp=sharing"",""จัดที่ดิน!BG25"")"),0)</f>
        <v>0</v>
      </c>
      <c r="K719" s="466"/>
      <c r="L719" s="733"/>
      <c r="M719" s="189"/>
      <c r="N719" s="733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 hidden="1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IFERROR(__xludf.DUMMYFUNCTION("IMPORTRANGE(""https://docs.google.com/spreadsheets/d/1QqKyyYR6Q21VydFLVH3TRQUabQu_ym0Zz7PgGX0-kHA/edit?usp=sharing"",""แผน!II25"")"),0)</f>
        <v>0</v>
      </c>
      <c r="J720" s="270">
        <f ca="1">IFERROR(__xludf.DUMMYFUNCTION("IMPORTRANGE(""https://docs.google.com/spreadsheets/d/1XWAQStnk-4SwqDmLtmXYiTMKHgktTP8We1SCoS47DrQ/edit?usp=sharing"",""จัดที่ดิน!BH25"")"),0)</f>
        <v>0</v>
      </c>
      <c r="K720" s="466">
        <f t="shared" ref="K720:K723" ca="1" si="291">IF(I720&gt;0,J720*100/I720,0)</f>
        <v>0</v>
      </c>
      <c r="L720" s="733"/>
      <c r="M720" s="189"/>
      <c r="N720" s="733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 hidden="1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IFERROR(__xludf.DUMMYFUNCTION("IMPORTRANGE(""https://docs.google.com/spreadsheets/d/1QqKyyYR6Q21VydFLVH3TRQUabQu_ym0Zz7PgGX0-kHA/edit?usp=sharing"",""แผน!IJ25"")"),0)</f>
        <v>0</v>
      </c>
      <c r="J721" s="648">
        <f ca="1">J723+J726</f>
        <v>0</v>
      </c>
      <c r="K721" s="195">
        <f t="shared" ca="1" si="291"/>
        <v>0</v>
      </c>
      <c r="L721" s="733"/>
      <c r="M721" s="189"/>
      <c r="N721" s="733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 hidden="1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IFERROR(__xludf.DUMMYFUNCTION("IMPORTRANGE(""https://docs.google.com/spreadsheets/d/1QqKyyYR6Q21VydFLVH3TRQUabQu_ym0Zz7PgGX0-kHA/edit?usp=sharing"",""แผน!IK25"")"),0)</f>
        <v>0</v>
      </c>
      <c r="J722" s="648">
        <f ca="1">J725+J728</f>
        <v>0</v>
      </c>
      <c r="K722" s="195">
        <f t="shared" ca="1" si="291"/>
        <v>0</v>
      </c>
      <c r="L722" s="466"/>
      <c r="M722" s="189"/>
      <c r="N722" s="733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 hidden="1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IFERROR(__xludf.DUMMYFUNCTION("IMPORTRANGE(""https://docs.google.com/spreadsheets/d/1QqKyyYR6Q21VydFLVH3TRQUabQu_ym0Zz7PgGX0-kHA/edit?usp=sharing"",""แผน!IL25"")"),0)</f>
        <v>0</v>
      </c>
      <c r="J723" s="270">
        <f ca="1">IFERROR(__xludf.DUMMYFUNCTION("IMPORTRANGE(""https://docs.google.com/spreadsheets/d/1XWAQStnk-4SwqDmLtmXYiTMKHgktTP8We1SCoS47DrQ/edit?usp=sharing"",""จัดที่ดิน!BM25"")"),0)</f>
        <v>0</v>
      </c>
      <c r="K723" s="466">
        <f t="shared" ca="1" si="291"/>
        <v>0</v>
      </c>
      <c r="L723" s="466"/>
      <c r="M723" s="189"/>
      <c r="N723" s="733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 hidden="1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IFERROR(__xludf.DUMMYFUNCTION("IMPORTRANGE(""https://docs.google.com/spreadsheets/d/1XWAQStnk-4SwqDmLtmXYiTMKHgktTP8We1SCoS47DrQ/edit?usp=sharing"",""จัดที่ดิน!BN25"")"),0)</f>
        <v>0</v>
      </c>
      <c r="K724" s="466"/>
      <c r="L724" s="733"/>
      <c r="M724" s="189"/>
      <c r="N724" s="733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 hidden="1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IFERROR(__xludf.DUMMYFUNCTION("IMPORTRANGE(""https://docs.google.com/spreadsheets/d/1QqKyyYR6Q21VydFLVH3TRQUabQu_ym0Zz7PgGX0-kHA/edit?usp=sharing"",""แผน!IM25"")"),0)</f>
        <v>0</v>
      </c>
      <c r="J725" s="270">
        <f ca="1">IFERROR(__xludf.DUMMYFUNCTION("IMPORTRANGE(""https://docs.google.com/spreadsheets/d/1XWAQStnk-4SwqDmLtmXYiTMKHgktTP8We1SCoS47DrQ/edit?usp=sharing"",""จัดที่ดิน!BO25"")"),0)</f>
        <v>0</v>
      </c>
      <c r="K725" s="466">
        <f t="shared" ref="K725:K726" ca="1" si="292">IF(I725&gt;0,J725*100/I725,0)</f>
        <v>0</v>
      </c>
      <c r="L725" s="733"/>
      <c r="M725" s="189"/>
      <c r="N725" s="733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 hidden="1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IFERROR(__xludf.DUMMYFUNCTION("IMPORTRANGE(""https://docs.google.com/spreadsheets/d/1QqKyyYR6Q21VydFLVH3TRQUabQu_ym0Zz7PgGX0-kHA/edit?usp=sharing"",""แผน!IN25"")"),0)</f>
        <v>0</v>
      </c>
      <c r="J726" s="270">
        <f ca="1">IFERROR(__xludf.DUMMYFUNCTION("IMPORTRANGE(""https://docs.google.com/spreadsheets/d/1XWAQStnk-4SwqDmLtmXYiTMKHgktTP8We1SCoS47DrQ/edit?usp=sharing"",""จัดที่ดิน!BR25"")"),0)</f>
        <v>0</v>
      </c>
      <c r="K726" s="466">
        <f t="shared" ca="1" si="292"/>
        <v>0</v>
      </c>
      <c r="L726" s="466"/>
      <c r="M726" s="189"/>
      <c r="N726" s="733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 hidden="1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IFERROR(__xludf.DUMMYFUNCTION("IMPORTRANGE(""https://docs.google.com/spreadsheets/d/1XWAQStnk-4SwqDmLtmXYiTMKHgktTP8We1SCoS47DrQ/edit?usp=sharing"",""จัดที่ดิน!BS25"")"),0)</f>
        <v>0</v>
      </c>
      <c r="K727" s="466"/>
      <c r="L727" s="733"/>
      <c r="M727" s="189"/>
      <c r="N727" s="733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 hidden="1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IFERROR(__xludf.DUMMYFUNCTION("IMPORTRANGE(""https://docs.google.com/spreadsheets/d/1QqKyyYR6Q21VydFLVH3TRQUabQu_ym0Zz7PgGX0-kHA/edit?usp=sharing"",""แผน!IO25"")"),0)</f>
        <v>0</v>
      </c>
      <c r="J728" s="270">
        <f ca="1">IFERROR(__xludf.DUMMYFUNCTION("IMPORTRANGE(""https://docs.google.com/spreadsheets/d/1XWAQStnk-4SwqDmLtmXYiTMKHgktTP8We1SCoS47DrQ/edit?usp=sharing"",""จัดที่ดิน!BT25"")"),0)</f>
        <v>0</v>
      </c>
      <c r="K728" s="466">
        <f t="shared" ref="K728:K729" ca="1" si="293">IF(I728&gt;0,J728*100/I728,0)</f>
        <v>0</v>
      </c>
      <c r="L728" s="733"/>
      <c r="M728" s="189"/>
      <c r="N728" s="733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 hidden="1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IFERROR(__xludf.DUMMYFUNCTION("IMPORTRANGE(""https://docs.google.com/spreadsheets/d/1QqKyyYR6Q21VydFLVH3TRQUabQu_ym0Zz7PgGX0-kHA/edit?usp=sharing"",""แผน!IP25"")"),0)</f>
        <v>0</v>
      </c>
      <c r="J729" s="648">
        <f>J732+J735</f>
        <v>0</v>
      </c>
      <c r="K729" s="195">
        <f t="shared" ca="1" si="293"/>
        <v>0</v>
      </c>
      <c r="L729" s="466"/>
      <c r="M729" s="189"/>
      <c r="N729" s="733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 hidden="1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0</v>
      </c>
      <c r="K730" s="466"/>
      <c r="L730" s="733"/>
      <c r="M730" s="466"/>
      <c r="N730" s="733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 hidden="1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0</v>
      </c>
      <c r="K731" s="466"/>
      <c r="L731" s="733"/>
      <c r="M731" s="466"/>
      <c r="N731" s="733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 hidden="1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0</v>
      </c>
      <c r="K732" s="466"/>
      <c r="L732" s="733"/>
      <c r="M732" s="466"/>
      <c r="N732" s="733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 hidden="1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0</v>
      </c>
      <c r="K733" s="466"/>
      <c r="L733" s="733"/>
      <c r="M733" s="466"/>
      <c r="N733" s="733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 hidden="1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0</v>
      </c>
      <c r="K734" s="466"/>
      <c r="L734" s="733"/>
      <c r="M734" s="466"/>
      <c r="N734" s="733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 hidden="1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0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4">L738+L739</f>
        <v>0</v>
      </c>
      <c r="M737" s="614">
        <f t="shared" si="294"/>
        <v>0</v>
      </c>
      <c r="N737" s="614">
        <f t="shared" si="294"/>
        <v>0</v>
      </c>
      <c r="O737" s="614">
        <f t="shared" ref="O737:O742" si="295">IF(L737&gt;0,N737*100/L737,0)</f>
        <v>0</v>
      </c>
      <c r="P737" s="614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6"/>
      <c r="D740" s="805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8">L741+L742</f>
        <v>0</v>
      </c>
      <c r="M740" s="614">
        <f t="shared" si="298"/>
        <v>0</v>
      </c>
      <c r="N740" s="614">
        <f t="shared" si="298"/>
        <v>0</v>
      </c>
      <c r="O740" s="614">
        <f t="shared" si="295"/>
        <v>0</v>
      </c>
      <c r="P740" s="614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6"/>
      <c r="D747" s="805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299">L748+L749</f>
        <v>0</v>
      </c>
      <c r="M747" s="614">
        <f t="shared" si="299"/>
        <v>0</v>
      </c>
      <c r="N747" s="614">
        <f t="shared" si="299"/>
        <v>0</v>
      </c>
      <c r="O747" s="614">
        <f t="shared" ref="O747:O749" si="300">IF(L747&gt;0,N747*100/L747,0)</f>
        <v>0</v>
      </c>
      <c r="P747" s="614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2">L755+L756</f>
        <v>0</v>
      </c>
      <c r="M754" s="614">
        <f t="shared" si="302"/>
        <v>0</v>
      </c>
      <c r="N754" s="614">
        <f t="shared" si="302"/>
        <v>0</v>
      </c>
      <c r="O754" s="614">
        <f t="shared" ref="O754:O759" si="303">IF(L754&gt;0,N754*100/L754,0)</f>
        <v>0</v>
      </c>
      <c r="P754" s="614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6"/>
      <c r="D757" s="805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6">L758+L759</f>
        <v>0</v>
      </c>
      <c r="M757" s="614">
        <f t="shared" si="306"/>
        <v>0</v>
      </c>
      <c r="N757" s="614">
        <f t="shared" si="306"/>
        <v>0</v>
      </c>
      <c r="O757" s="614">
        <f t="shared" si="303"/>
        <v>0</v>
      </c>
      <c r="P757" s="614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6"/>
      <c r="D764" s="805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7">L765+L766</f>
        <v>0</v>
      </c>
      <c r="M764" s="614">
        <f t="shared" si="307"/>
        <v>0</v>
      </c>
      <c r="N764" s="614">
        <f t="shared" si="307"/>
        <v>0</v>
      </c>
      <c r="O764" s="614">
        <f t="shared" ref="O764:O766" si="308">IF(L764&gt;0,N764*100/L764,0)</f>
        <v>0</v>
      </c>
      <c r="P764" s="614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0">L771+L772</f>
        <v>0</v>
      </c>
      <c r="M770" s="614">
        <f t="shared" si="310"/>
        <v>0</v>
      </c>
      <c r="N770" s="614">
        <f t="shared" si="310"/>
        <v>0</v>
      </c>
      <c r="O770" s="614">
        <f t="shared" ref="O770:O775" si="311">IF(L770&gt;0,N770*100/L770,0)</f>
        <v>0</v>
      </c>
      <c r="P770" s="614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6"/>
      <c r="D773" s="805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4">L774+L775</f>
        <v>0</v>
      </c>
      <c r="M773" s="614">
        <f t="shared" si="314"/>
        <v>0</v>
      </c>
      <c r="N773" s="614">
        <f t="shared" si="314"/>
        <v>0</v>
      </c>
      <c r="O773" s="614">
        <f t="shared" si="311"/>
        <v>0</v>
      </c>
      <c r="P773" s="614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6"/>
      <c r="D780" s="805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5">L781+L782</f>
        <v>0</v>
      </c>
      <c r="M780" s="614">
        <f t="shared" si="315"/>
        <v>0</v>
      </c>
      <c r="N780" s="614">
        <f t="shared" si="315"/>
        <v>0</v>
      </c>
      <c r="O780" s="614">
        <f t="shared" ref="O780:O782" si="316">IF(L780&gt;0,N780*100/L780,0)</f>
        <v>0</v>
      </c>
      <c r="P780" s="614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 hidden="1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773" t="s">
        <v>46</v>
      </c>
      <c r="I785" s="863">
        <f t="shared" ref="I785:J785" ca="1" si="318">I800</f>
        <v>0</v>
      </c>
      <c r="J785" s="774">
        <f t="shared" ca="1" si="318"/>
        <v>0</v>
      </c>
      <c r="K785" s="775">
        <f ca="1">IF(I785&gt;0,J785*100/I785,0)</f>
        <v>0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 hidden="1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563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6"/>
      <c r="D787" s="687"/>
      <c r="E787" s="726" t="s">
        <v>184</v>
      </c>
      <c r="F787" s="726"/>
      <c r="G787" s="568"/>
      <c r="H787" s="165" t="s">
        <v>12</v>
      </c>
      <c r="I787" s="584"/>
      <c r="J787" s="584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6" t="s">
        <v>185</v>
      </c>
      <c r="F788" s="726"/>
      <c r="G788" s="568"/>
      <c r="H788" s="165" t="s">
        <v>12</v>
      </c>
      <c r="I788" s="584"/>
      <c r="J788" s="584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 hidden="1">
      <c r="A789" s="562"/>
      <c r="B789" s="539"/>
      <c r="C789" s="539"/>
      <c r="D789" s="571" t="s">
        <v>20</v>
      </c>
      <c r="E789" s="730"/>
      <c r="F789" s="730"/>
      <c r="G789" s="189"/>
      <c r="H789" s="779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6" t="s">
        <v>184</v>
      </c>
      <c r="F790" s="726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6" t="s">
        <v>185</v>
      </c>
      <c r="F791" s="726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IFERROR(__xludf.DUMMYFUNCTION("IMPORTRANGE(""https://docs.google.com/spreadsheets/d/1QqKyyYR6Q21VydFLVH3TRQUabQu_ym0Zz7PgGX0-kHA/edit?usp=sharing"",""แผน!JJ25"")"),0)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 hidden="1">
      <c r="A792" s="538"/>
      <c r="B792" s="539"/>
      <c r="C792" s="730"/>
      <c r="D792" s="730"/>
      <c r="E792" s="730"/>
      <c r="F792" s="730" t="s">
        <v>186</v>
      </c>
      <c r="G792" s="189"/>
      <c r="H792" s="779" t="s">
        <v>12</v>
      </c>
      <c r="I792" s="270"/>
      <c r="J792" s="270"/>
      <c r="K792" s="466"/>
      <c r="L792" s="466"/>
      <c r="M792" s="466"/>
      <c r="N792" s="801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 hidden="1">
      <c r="A793" s="538"/>
      <c r="B793" s="539"/>
      <c r="C793" s="730"/>
      <c r="D793" s="730"/>
      <c r="E793" s="730"/>
      <c r="F793" s="730" t="s">
        <v>187</v>
      </c>
      <c r="G793" s="189"/>
      <c r="H793" s="779" t="s">
        <v>12</v>
      </c>
      <c r="I793" s="270"/>
      <c r="J793" s="270"/>
      <c r="K793" s="466"/>
      <c r="L793" s="466"/>
      <c r="M793" s="466"/>
      <c r="N793" s="801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 hidden="1">
      <c r="A794" s="538"/>
      <c r="B794" s="539"/>
      <c r="C794" s="730"/>
      <c r="D794" s="730"/>
      <c r="E794" s="730"/>
      <c r="F794" s="730" t="s">
        <v>188</v>
      </c>
      <c r="G794" s="189"/>
      <c r="H794" s="779" t="s">
        <v>12</v>
      </c>
      <c r="I794" s="270"/>
      <c r="J794" s="270"/>
      <c r="K794" s="466"/>
      <c r="L794" s="466"/>
      <c r="M794" s="466"/>
      <c r="N794" s="801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 hidden="1">
      <c r="A795" s="538"/>
      <c r="B795" s="539"/>
      <c r="C795" s="730"/>
      <c r="D795" s="730"/>
      <c r="E795" s="730"/>
      <c r="F795" s="730" t="s">
        <v>189</v>
      </c>
      <c r="G795" s="189"/>
      <c r="H795" s="779" t="s">
        <v>12</v>
      </c>
      <c r="I795" s="270"/>
      <c r="J795" s="270"/>
      <c r="K795" s="466"/>
      <c r="L795" s="466"/>
      <c r="M795" s="466"/>
      <c r="N795" s="801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 hidden="1">
      <c r="A796" s="562"/>
      <c r="B796" s="539"/>
      <c r="C796" s="730"/>
      <c r="D796" s="571" t="s">
        <v>21</v>
      </c>
      <c r="E796" s="730"/>
      <c r="F796" s="730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6"/>
      <c r="D797" s="726"/>
      <c r="E797" s="726" t="s">
        <v>18</v>
      </c>
      <c r="F797" s="726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6"/>
      <c r="D798" s="726"/>
      <c r="E798" s="726" t="s">
        <v>19</v>
      </c>
      <c r="F798" s="726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 hidden="1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777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 hidden="1">
      <c r="A800" s="573"/>
      <c r="B800" s="585"/>
      <c r="C800" s="585"/>
      <c r="D800" s="585"/>
      <c r="E800" s="593"/>
      <c r="F800" s="593" t="s">
        <v>320</v>
      </c>
      <c r="G800" s="729"/>
      <c r="H800" s="778" t="s">
        <v>46</v>
      </c>
      <c r="I800" s="184">
        <f ca="1">IFERROR(__xludf.DUMMYFUNCTION("IMPORTRANGE(""https://docs.google.com/spreadsheets/d/1QqKyyYR6Q21VydFLVH3TRQUabQu_ym0Zz7PgGX0-kHA/edit?usp=sharing"",""แผน!JN25"")"),0)</f>
        <v>0</v>
      </c>
      <c r="J800" s="184">
        <f ca="1">IFERROR(__xludf.DUMMYFUNCTION("IMPORTRANGE(""https://docs.google.com/spreadsheets/d/1MaWodYyGHDf7siQLGxnXhG4mBNTNIuy296niS2xXulU/edit?usp=sharing"",""RTK!H25"")"),0)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 hidden="1">
      <c r="A801" s="573"/>
      <c r="B801" s="585"/>
      <c r="C801" s="585"/>
      <c r="D801" s="585"/>
      <c r="E801" s="593"/>
      <c r="F801" s="593"/>
      <c r="G801" s="729"/>
      <c r="H801" s="779" t="s">
        <v>34</v>
      </c>
      <c r="I801" s="184"/>
      <c r="J801" s="270">
        <f ca="1">IFERROR(__xludf.DUMMYFUNCTION("IMPORTRANGE(""https://docs.google.com/spreadsheets/d/1MaWodYyGHDf7siQLGxnXhG4mBNTNIuy296niS2xXulU/edit?usp=sharing"",""RTK!I25"")"),0)</f>
        <v>0</v>
      </c>
      <c r="K801" s="466"/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 hidden="1">
      <c r="A802" s="579"/>
      <c r="B802" s="581"/>
      <c r="C802" s="581"/>
      <c r="D802" s="581"/>
      <c r="E802" s="687"/>
      <c r="F802" s="687" t="s">
        <v>321</v>
      </c>
      <c r="G802" s="582"/>
      <c r="H802" s="620" t="s">
        <v>46</v>
      </c>
      <c r="I802" s="166"/>
      <c r="J802" s="584"/>
      <c r="K802" s="167">
        <f>IF(I802&gt;0,J802*100/I802,0)</f>
        <v>0</v>
      </c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 hidden="1">
      <c r="A803" s="579"/>
      <c r="B803" s="581"/>
      <c r="C803" s="581"/>
      <c r="D803" s="581"/>
      <c r="E803" s="687"/>
      <c r="F803" s="687"/>
      <c r="G803" s="582"/>
      <c r="H803" s="620" t="s">
        <v>34</v>
      </c>
      <c r="I803" s="166"/>
      <c r="J803" s="584"/>
      <c r="K803" s="167"/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>IF(I804&gt;0,J804*100/I804,0)</f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7">L806+L807</f>
        <v>0</v>
      </c>
      <c r="M805" s="614">
        <f t="shared" si="327"/>
        <v>0</v>
      </c>
      <c r="N805" s="614">
        <f t="shared" si="327"/>
        <v>0</v>
      </c>
      <c r="O805" s="614">
        <f t="shared" ref="O805:O810" si="328">IF(L805&gt;0,N805*100/L805,0)</f>
        <v>0</v>
      </c>
      <c r="P805" s="614">
        <f t="shared" ref="P805:P810" si="329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1">L809+L810</f>
        <v>0</v>
      </c>
      <c r="M808" s="614">
        <f t="shared" si="331"/>
        <v>0</v>
      </c>
      <c r="N808" s="614">
        <f t="shared" si="331"/>
        <v>0</v>
      </c>
      <c r="O808" s="614">
        <f t="shared" si="328"/>
        <v>0</v>
      </c>
      <c r="P808" s="614">
        <f t="shared" si="329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2">L816+L817</f>
        <v>0</v>
      </c>
      <c r="M815" s="614">
        <f t="shared" si="332"/>
        <v>0</v>
      </c>
      <c r="N815" s="614">
        <f t="shared" si="332"/>
        <v>0</v>
      </c>
      <c r="O815" s="614">
        <f t="shared" ref="O815:O817" si="333">IF(L815&gt;0,N815*100/L815,0)</f>
        <v>0</v>
      </c>
      <c r="P815" s="614">
        <f t="shared" ref="P815:P817" si="334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55" t="s">
        <v>332</v>
      </c>
      <c r="B820" s="856"/>
      <c r="C820" s="856"/>
      <c r="D820" s="857"/>
      <c r="E820" s="856"/>
      <c r="F820" s="856"/>
      <c r="G820" s="858"/>
      <c r="H820" s="858"/>
      <c r="I820" s="860"/>
      <c r="J820" s="860"/>
      <c r="K820" s="861"/>
      <c r="L820" s="861"/>
      <c r="M820" s="861"/>
      <c r="N820" s="861"/>
      <c r="O820" s="861"/>
      <c r="P820" s="86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IFERROR(__xludf.DUMMYFUNCTION("IMPORTRANGE(""https://docs.google.com/spreadsheets/d/19vJNZY_5yjcGF2XGBMNZRCAIB0Kwfpjp8YEOfu-bneM/edit?usp=sharing"",""งานกองทุน!D25"")"),974996.7)</f>
        <v>974996.7</v>
      </c>
      <c r="J821" s="270">
        <f ca="1">IFERROR(__xludf.DUMMYFUNCTION("IMPORTRANGE(""https://docs.google.com/spreadsheets/d/19vJNZY_5yjcGF2XGBMNZRCAIB0Kwfpjp8YEOfu-bneM/edit?usp=sharing"",""งานกองทุน!F25"")"),241473.12)</f>
        <v>241473.12</v>
      </c>
      <c r="K821" s="466">
        <f t="shared" ref="K821:K828" ca="1" si="335">IF(I821&gt;0,J821*100/I821,0)</f>
        <v>24.766557671425964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IFERROR(__xludf.DUMMYFUNCTION("IMPORTRANGE(""https://docs.google.com/spreadsheets/d/19vJNZY_5yjcGF2XGBMNZRCAIB0Kwfpjp8YEOfu-bneM/edit?usp=sharing"",""งานกองทุน!C25"")"),97)</f>
        <v>97</v>
      </c>
      <c r="J822" s="270">
        <f ca="1">IFERROR(__xludf.DUMMYFUNCTION("IMPORTRANGE(""https://docs.google.com/spreadsheets/d/19vJNZY_5yjcGF2XGBMNZRCAIB0Kwfpjp8YEOfu-bneM/edit?usp=sharing"",""งานกองทุน!E25"")"),22)</f>
        <v>22</v>
      </c>
      <c r="K822" s="466">
        <f t="shared" ca="1" si="335"/>
        <v>22.680412371134022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IFERROR(__xludf.DUMMYFUNCTION("IMPORTRANGE(""https://docs.google.com/spreadsheets/d/19vJNZY_5yjcGF2XGBMNZRCAIB0Kwfpjp8YEOfu-bneM/edit?usp=sharing"",""งานกองทุน!I25"")"),220791)</f>
        <v>220791</v>
      </c>
      <c r="J823" s="270">
        <f ca="1">IFERROR(__xludf.DUMMYFUNCTION("IMPORTRANGE(""https://docs.google.com/spreadsheets/d/19vJNZY_5yjcGF2XGBMNZRCAIB0Kwfpjp8YEOfu-bneM/edit?usp=sharing"",""งานกองทุน!K25"")"),53673)</f>
        <v>53673</v>
      </c>
      <c r="K823" s="466">
        <f t="shared" ca="1" si="335"/>
        <v>24.309414785928773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IFERROR(__xludf.DUMMYFUNCTION("IMPORTRANGE(""https://docs.google.com/spreadsheets/d/19vJNZY_5yjcGF2XGBMNZRCAIB0Kwfpjp8YEOfu-bneM/edit?usp=sharing"",""งานกองทุน!H25"")"),14)</f>
        <v>14</v>
      </c>
      <c r="J824" s="270">
        <f ca="1">IFERROR(__xludf.DUMMYFUNCTION("IMPORTRANGE(""https://docs.google.com/spreadsheets/d/19vJNZY_5yjcGF2XGBMNZRCAIB0Kwfpjp8YEOfu-bneM/edit?usp=sharing"",""งานกองทุน!J25"")"),8)</f>
        <v>8</v>
      </c>
      <c r="K824" s="466">
        <f t="shared" ca="1" si="335"/>
        <v>57.142857142857146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IFERROR(__xludf.DUMMYFUNCTION("IMPORTRANGE(""https://docs.google.com/spreadsheets/d/19vJNZY_5yjcGF2XGBMNZRCAIB0Kwfpjp8YEOfu-bneM/edit?usp=sharing"",""งานกองทุน!N25"")"),0)</f>
        <v>0</v>
      </c>
      <c r="J825" s="270">
        <f ca="1">IFERROR(__xludf.DUMMYFUNCTION("IMPORTRANGE(""https://docs.google.com/spreadsheets/d/19vJNZY_5yjcGF2XGBMNZRCAIB0Kwfpjp8YEOfu-bneM/edit?usp=sharing"",""งานกองทุน!P25"")"),0)</f>
        <v>0</v>
      </c>
      <c r="K825" s="466">
        <f t="shared" ca="1" si="335"/>
        <v>0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IFERROR(__xludf.DUMMYFUNCTION("IMPORTRANGE(""https://docs.google.com/spreadsheets/d/19vJNZY_5yjcGF2XGBMNZRCAIB0Kwfpjp8YEOfu-bneM/edit?usp=sharing"",""งานกองทุน!M25"")"),0)</f>
        <v>0</v>
      </c>
      <c r="J826" s="270">
        <f ca="1">IFERROR(__xludf.DUMMYFUNCTION("IMPORTRANGE(""https://docs.google.com/spreadsheets/d/19vJNZY_5yjcGF2XGBMNZRCAIB0Kwfpjp8YEOfu-bneM/edit?usp=sharing"",""งานกองทุน!O25"")"),0)</f>
        <v>0</v>
      </c>
      <c r="K826" s="466">
        <f t="shared" ca="1" si="335"/>
        <v>0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IFERROR(__xludf.DUMMYFUNCTION("IMPORTRANGE(""https://docs.google.com/spreadsheets/d/19vJNZY_5yjcGF2XGBMNZRCAIB0Kwfpjp8YEOfu-bneM/edit?usp=sharing"",""งานกองทุน!S25"")"),1250000)</f>
        <v>1250000</v>
      </c>
      <c r="J827" s="270">
        <f ca="1">IFERROR(__xludf.DUMMYFUNCTION("IMPORTRANGE(""https://docs.google.com/spreadsheets/d/19vJNZY_5yjcGF2XGBMNZRCAIB0Kwfpjp8YEOfu-bneM/edit?usp=sharing"",""งานกองทุน!U25"")"),450000)</f>
        <v>450000</v>
      </c>
      <c r="K827" s="466">
        <f t="shared" ca="1" si="335"/>
        <v>36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IFERROR(__xludf.DUMMYFUNCTION("IMPORTRANGE(""https://docs.google.com/spreadsheets/d/19vJNZY_5yjcGF2XGBMNZRCAIB0Kwfpjp8YEOfu-bneM/edit?usp=sharing"",""งานกองทุน!R25"")"),50)</f>
        <v>50</v>
      </c>
      <c r="J828" s="469">
        <f ca="1">IFERROR(__xludf.DUMMYFUNCTION("IMPORTRANGE(""https://docs.google.com/spreadsheets/d/19vJNZY_5yjcGF2XGBMNZRCAIB0Kwfpjp8YEOfu-bneM/edit?usp=sharing"",""งานกองทุน!T25"")"),16)</f>
        <v>16</v>
      </c>
      <c r="K828" s="470">
        <f t="shared" ca="1" si="335"/>
        <v>32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DAB5D-D1DD-4E46-BCD9-41228B21F8B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4" customWidth="1"/>
    <col min="4" max="6" width="5.85546875" style="804" customWidth="1"/>
    <col min="7" max="7" width="56.42578125" style="804" customWidth="1"/>
    <col min="8" max="8" width="9.42578125" style="804" customWidth="1"/>
    <col min="9" max="10" width="16.85546875" style="804" bestFit="1" customWidth="1"/>
    <col min="11" max="11" width="12.5703125" style="804" customWidth="1"/>
    <col min="12" max="13" width="20.28515625" style="804" bestFit="1" customWidth="1"/>
    <col min="14" max="14" width="21.28515625" style="804" bestFit="1" customWidth="1"/>
    <col min="15" max="16" width="17.5703125" style="804" customWidth="1"/>
    <col min="17" max="16384" width="12.5703125" style="804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349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4965679</v>
      </c>
      <c r="M8" s="22">
        <f t="shared" ca="1" si="0"/>
        <v>2068130</v>
      </c>
      <c r="N8" s="22">
        <f t="shared" ca="1" si="0"/>
        <v>1504922.65</v>
      </c>
      <c r="O8" s="22">
        <f t="shared" ref="O8:O16" ca="1" si="1">IF(L8&gt;0,N8*100/L8,0)</f>
        <v>30.306482758954012</v>
      </c>
      <c r="P8" s="22">
        <f t="shared" ref="P8:P16" ca="1" si="2">IF(M8&gt;0,N8*100/M8,0)</f>
        <v>72.767313950283594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4965679</v>
      </c>
      <c r="M10" s="30">
        <f t="shared" ca="1" si="3"/>
        <v>2068130</v>
      </c>
      <c r="N10" s="30">
        <f t="shared" ca="1" si="3"/>
        <v>1504922.65</v>
      </c>
      <c r="O10" s="30">
        <f t="shared" ca="1" si="1"/>
        <v>30.306482758954012</v>
      </c>
      <c r="P10" s="30">
        <f t="shared" ca="1" si="2"/>
        <v>72.767313950283594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4950679</v>
      </c>
      <c r="M11" s="466">
        <f t="shared" ca="1" si="4"/>
        <v>2053130</v>
      </c>
      <c r="N11" s="466">
        <f t="shared" ca="1" si="4"/>
        <v>1489922.65</v>
      </c>
      <c r="O11" s="466">
        <f t="shared" ca="1" si="1"/>
        <v>30.095319248127378</v>
      </c>
      <c r="P11" s="466">
        <f t="shared" ca="1" si="2"/>
        <v>72.568354171435814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4950679</v>
      </c>
      <c r="M13" s="93">
        <f t="shared" ca="1" si="5"/>
        <v>2053130</v>
      </c>
      <c r="N13" s="93">
        <f t="shared" ca="1" si="5"/>
        <v>1489922.65</v>
      </c>
      <c r="O13" s="93">
        <f t="shared" ca="1" si="1"/>
        <v>30.095319248127378</v>
      </c>
      <c r="P13" s="93">
        <f t="shared" ca="1" si="2"/>
        <v>72.568354171435814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15000</v>
      </c>
      <c r="M14" s="466">
        <f t="shared" ca="1" si="6"/>
        <v>15000</v>
      </c>
      <c r="N14" s="466">
        <f t="shared" ca="1" si="6"/>
        <v>15000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15000</v>
      </c>
      <c r="M16" s="52">
        <f t="shared" ca="1" si="7"/>
        <v>15000</v>
      </c>
      <c r="N16" s="52">
        <f t="shared" ca="1" si="7"/>
        <v>15000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2567755</v>
      </c>
      <c r="M18" s="22">
        <f t="shared" ca="1" si="8"/>
        <v>2068130</v>
      </c>
      <c r="N18" s="22">
        <f t="shared" ca="1" si="8"/>
        <v>1056496.02</v>
      </c>
      <c r="O18" s="22">
        <f t="shared" ref="O18:O26" ca="1" si="9">IF(L18&gt;0,N18*100/L18,0)</f>
        <v>41.144736160576066</v>
      </c>
      <c r="P18" s="22">
        <f t="shared" ref="P18:P26" ca="1" si="10">IF(M18&gt;0,N18*100/M18,0)</f>
        <v>51.084603965901564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2567755</v>
      </c>
      <c r="M20" s="30">
        <f t="shared" ca="1" si="11"/>
        <v>2068130</v>
      </c>
      <c r="N20" s="30">
        <f t="shared" ca="1" si="11"/>
        <v>1056496.02</v>
      </c>
      <c r="O20" s="30">
        <f t="shared" ca="1" si="9"/>
        <v>41.144736160576066</v>
      </c>
      <c r="P20" s="30">
        <f t="shared" ca="1" si="10"/>
        <v>51.084603965901564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2552755</v>
      </c>
      <c r="M21" s="466">
        <f t="shared" ca="1" si="12"/>
        <v>2053130</v>
      </c>
      <c r="N21" s="466">
        <f t="shared" ca="1" si="12"/>
        <v>1041496.02</v>
      </c>
      <c r="O21" s="466">
        <f t="shared" ca="1" si="9"/>
        <v>40.798902362349693</v>
      </c>
      <c r="P21" s="466">
        <f t="shared" ca="1" si="10"/>
        <v>50.72723207980011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2552755</v>
      </c>
      <c r="M23" s="93">
        <f t="shared" ca="1" si="13"/>
        <v>2053130</v>
      </c>
      <c r="N23" s="93">
        <f t="shared" ca="1" si="13"/>
        <v>1041496.02</v>
      </c>
      <c r="O23" s="93">
        <f t="shared" ca="1" si="9"/>
        <v>40.798902362349693</v>
      </c>
      <c r="P23" s="93">
        <f t="shared" ca="1" si="10"/>
        <v>50.72723207980011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15000</v>
      </c>
      <c r="M24" s="466">
        <f t="shared" ca="1" si="14"/>
        <v>15000</v>
      </c>
      <c r="N24" s="466">
        <f t="shared" ca="1" si="14"/>
        <v>15000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15000</v>
      </c>
      <c r="M26" s="52">
        <f t="shared" ca="1" si="15"/>
        <v>15000</v>
      </c>
      <c r="N26" s="52">
        <f t="shared" ca="1" si="15"/>
        <v>15000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2397924</v>
      </c>
      <c r="M28" s="22">
        <f t="shared" si="16"/>
        <v>0</v>
      </c>
      <c r="N28" s="22">
        <f t="shared" si="16"/>
        <v>448426.63</v>
      </c>
      <c r="O28" s="22">
        <f t="shared" ref="O28:O37" ca="1" si="17">IF(L28&gt;0,N28*100/L28,0)</f>
        <v>18.7006189520602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2397924</v>
      </c>
      <c r="M30" s="30">
        <f t="shared" si="19"/>
        <v>0</v>
      </c>
      <c r="N30" s="30">
        <f t="shared" si="19"/>
        <v>448426.63</v>
      </c>
      <c r="O30" s="30">
        <f t="shared" ca="1" si="17"/>
        <v>18.7006189520602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2397924</v>
      </c>
      <c r="M31" s="466">
        <f t="shared" si="20"/>
        <v>0</v>
      </c>
      <c r="N31" s="466">
        <f t="shared" si="20"/>
        <v>448426.63</v>
      </c>
      <c r="O31" s="466">
        <f t="shared" ca="1" si="17"/>
        <v>18.7006189520602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2397924</v>
      </c>
      <c r="M33" s="93">
        <f t="shared" si="21"/>
        <v>0</v>
      </c>
      <c r="N33" s="93">
        <f t="shared" si="21"/>
        <v>448426.63</v>
      </c>
      <c r="O33" s="93">
        <f t="shared" ca="1" si="17"/>
        <v>18.7006189520602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2567755</v>
      </c>
      <c r="M37" s="812">
        <f t="shared" ca="1" si="24"/>
        <v>2068130</v>
      </c>
      <c r="N37" s="812">
        <f t="shared" ca="1" si="24"/>
        <v>1056496.02</v>
      </c>
      <c r="O37" s="812">
        <f t="shared" ca="1" si="17"/>
        <v>41.144736160576066</v>
      </c>
      <c r="P37" s="812">
        <f t="shared" ca="1" si="18"/>
        <v>51.084603965901564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532100</v>
      </c>
      <c r="M41" s="85">
        <f t="shared" ca="1" si="25"/>
        <v>537750</v>
      </c>
      <c r="N41" s="85">
        <f t="shared" ca="1" si="25"/>
        <v>217880</v>
      </c>
      <c r="O41" s="85">
        <f t="shared" ref="O41:O49" ca="1" si="26">IF(L41&gt;0,N41*100/L41,0)</f>
        <v>40.947190377748541</v>
      </c>
      <c r="P41" s="85">
        <f t="shared" ref="P41:P49" ca="1" si="27">IF(M41&gt;0,N41*100/M41,0)</f>
        <v>40.516968851696888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532100</v>
      </c>
      <c r="M43" s="92">
        <f t="shared" ca="1" si="28"/>
        <v>537750</v>
      </c>
      <c r="N43" s="92">
        <f t="shared" ca="1" si="28"/>
        <v>217880</v>
      </c>
      <c r="O43" s="92">
        <f t="shared" ca="1" si="26"/>
        <v>40.947190377748541</v>
      </c>
      <c r="P43" s="92">
        <f t="shared" ca="1" si="27"/>
        <v>40.516968851696888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532100</v>
      </c>
      <c r="M44" s="466">
        <f t="shared" ca="1" si="29"/>
        <v>537750</v>
      </c>
      <c r="N44" s="466">
        <f t="shared" ca="1" si="29"/>
        <v>217880</v>
      </c>
      <c r="O44" s="466">
        <f t="shared" ca="1" si="26"/>
        <v>40.947190377748541</v>
      </c>
      <c r="P44" s="466">
        <f t="shared" ca="1" si="27"/>
        <v>40.516968851696888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IFERROR(__xludf.DUMMYFUNCTION("IMPORTRANGE(""https://docs.google.com/spreadsheets/d/1MeEWN-I1oV_STSDYn1IFDPWt_1FKiwhDph83XaGc0o0/edit?usp=sharing"",""งบพรบ!M26"")"),532100)</f>
        <v>532100</v>
      </c>
      <c r="M46" s="93">
        <f ca="1">IFERROR(__xludf.DUMMYFUNCTION("IMPORTRANGE(""https://docs.google.com/spreadsheets/d/1MeEWN-I1oV_STSDYn1IFDPWt_1FKiwhDph83XaGc0o0/edit?usp=sharing"",""งบพรบ!R26"")"),537750)</f>
        <v>537750</v>
      </c>
      <c r="N46" s="93">
        <f ca="1">IFERROR(__xludf.DUMMYFUNCTION("IMPORTRANGE(""https://docs.google.com/spreadsheets/d/1MeEWN-I1oV_STSDYn1IFDPWt_1FKiwhDph83XaGc0o0/edit?usp=sharing"",""งบพรบ!T26"")"),217880)</f>
        <v>217880</v>
      </c>
      <c r="O46" s="93">
        <f t="shared" ca="1" si="26"/>
        <v>40.947190377748541</v>
      </c>
      <c r="P46" s="93">
        <f t="shared" ca="1" si="27"/>
        <v>40.516968851696888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IFERROR(__xludf.DUMMYFUNCTION("IMPORTRANGE(""https://docs.google.com/spreadsheets/d/1MeEWN-I1oV_STSDYn1IFDPWt_1FKiwhDph83XaGc0o0/edit?usp=sharing"",""งบพรบ!P26"")"),0)</f>
        <v>0</v>
      </c>
      <c r="M49" s="52">
        <f ca="1">IFERROR(__xludf.DUMMYFUNCTION("IMPORTRANGE(""https://docs.google.com/spreadsheets/d/1MeEWN-I1oV_STSDYn1IFDPWt_1FKiwhDph83XaGc0o0/edit?usp=sharing"",""งบพรบ!S26"")"),0)</f>
        <v>0</v>
      </c>
      <c r="N49" s="52">
        <f ca="1">IFERROR(__xludf.DUMMYFUNCTION("IMPORTRANGE(""https://docs.google.com/spreadsheets/d/1MeEWN-I1oV_STSDYn1IFDPWt_1FKiwhDph83XaGc0o0/edit?usp=sharing"",""งบพรบ!U26"")"),0)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647300</v>
      </c>
      <c r="M53" s="116">
        <f t="shared" ca="1" si="31"/>
        <v>485475</v>
      </c>
      <c r="N53" s="116">
        <f t="shared" ca="1" si="31"/>
        <v>337228.9</v>
      </c>
      <c r="O53" s="116">
        <f t="shared" ref="O53:O61" ca="1" si="32">IF(L53&gt;0,N53*100/L53,0)</f>
        <v>52.097775374633095</v>
      </c>
      <c r="P53" s="116">
        <f t="shared" ref="P53:P61" ca="1" si="33">IF(M53&gt;0,N53*100/M53,0)</f>
        <v>69.463700499510793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647300</v>
      </c>
      <c r="M55" s="123">
        <f t="shared" ca="1" si="34"/>
        <v>485475</v>
      </c>
      <c r="N55" s="123">
        <f t="shared" ca="1" si="34"/>
        <v>337228.9</v>
      </c>
      <c r="O55" s="123">
        <f t="shared" ca="1" si="32"/>
        <v>52.097775374633095</v>
      </c>
      <c r="P55" s="123">
        <f t="shared" ca="1" si="33"/>
        <v>69.463700499510793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647300</v>
      </c>
      <c r="M56" s="466">
        <f t="shared" ca="1" si="35"/>
        <v>485475</v>
      </c>
      <c r="N56" s="466">
        <f t="shared" ca="1" si="35"/>
        <v>337228.9</v>
      </c>
      <c r="O56" s="466">
        <f t="shared" ca="1" si="32"/>
        <v>52.097775374633095</v>
      </c>
      <c r="P56" s="466">
        <f t="shared" ca="1" si="33"/>
        <v>69.463700499510793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IFERROR(__xludf.DUMMYFUNCTION("IMPORTRANGE(""https://docs.google.com/spreadsheets/d/1MeEWN-I1oV_STSDYn1IFDPWt_1FKiwhDph83XaGc0o0/edit?usp=sharing"",""งบพรบ!W26"")"),647300)</f>
        <v>647300</v>
      </c>
      <c r="M58" s="93">
        <f ca="1">IFERROR(__xludf.DUMMYFUNCTION("IMPORTRANGE(""https://docs.google.com/spreadsheets/d/1MeEWN-I1oV_STSDYn1IFDPWt_1FKiwhDph83XaGc0o0/edit?usp=sharing"",""งบพรบ!AB26"")"),485475)</f>
        <v>485475</v>
      </c>
      <c r="N58" s="93">
        <f ca="1">IFERROR(__xludf.DUMMYFUNCTION("IMPORTRANGE(""https://docs.google.com/spreadsheets/d/1MeEWN-I1oV_STSDYn1IFDPWt_1FKiwhDph83XaGc0o0/edit?usp=sharing"",""งบพรบ!AD26"")"),337228.9)</f>
        <v>337228.9</v>
      </c>
      <c r="O58" s="93">
        <f t="shared" ca="1" si="32"/>
        <v>52.097775374633095</v>
      </c>
      <c r="P58" s="93">
        <f t="shared" ca="1" si="33"/>
        <v>69.463700499510793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IFERROR(__xludf.DUMMYFUNCTION("IMPORTRANGE(""https://docs.google.com/spreadsheets/d/1MeEWN-I1oV_STSDYn1IFDPWt_1FKiwhDph83XaGc0o0/edit?usp=sharing"",""งบพรบ!Z26"")"),0)</f>
        <v>0</v>
      </c>
      <c r="M61" s="52">
        <f ca="1">IFERROR(__xludf.DUMMYFUNCTION("IMPORTRANGE(""https://docs.google.com/spreadsheets/d/1MeEWN-I1oV_STSDYn1IFDPWt_1FKiwhDph83XaGc0o0/edit?usp=sharing"",""งบพรบ!AC26"")"),0)</f>
        <v>0</v>
      </c>
      <c r="N61" s="52">
        <f ca="1">IFERROR(__xludf.DUMMYFUNCTION("IMPORTRANGE(""https://docs.google.com/spreadsheets/d/1MeEWN-I1oV_STSDYn1IFDPWt_1FKiwhDph83XaGc0o0/edit?usp=sharing"",""งบพรบ!AE26"")"),0)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IFERROR(__xludf.DUMMYFUNCTION("IMPORTRANGE(""https://docs.google.com/spreadsheets/d/1MeEWN-I1oV_STSDYn1IFDPWt_1FKiwhDph83XaGc0o0/edit?usp=sharing"",""งบพรบ!AG26"")"),0)</f>
        <v>0</v>
      </c>
      <c r="M71" s="93">
        <f ca="1">IFERROR(__xludf.DUMMYFUNCTION("IMPORTRANGE(""https://docs.google.com/spreadsheets/d/1MeEWN-I1oV_STSDYn1IFDPWt_1FKiwhDph83XaGc0o0/edit?usp=sharing"",""งบพรบ!AL26"")"),0)</f>
        <v>0</v>
      </c>
      <c r="N71" s="93">
        <f ca="1">IFERROR(__xludf.DUMMYFUNCTION("IMPORTRANGE(""https://docs.google.com/spreadsheets/d/1MeEWN-I1oV_STSDYn1IFDPWt_1FKiwhDph83XaGc0o0/edit?usp=sharing"",""งบพรบ!AN26"")"),0)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IFERROR(__xludf.DUMMYFUNCTION("IMPORTRANGE(""https://docs.google.com/spreadsheets/d/1MeEWN-I1oV_STSDYn1IFDPWt_1FKiwhDph83XaGc0o0/edit?usp=sharing"",""งบพรบ!AJ26"")"),0)</f>
        <v>0</v>
      </c>
      <c r="M74" s="93">
        <f ca="1">IFERROR(__xludf.DUMMYFUNCTION("IMPORTRANGE(""https://docs.google.com/spreadsheets/d/1MeEWN-I1oV_STSDYn1IFDPWt_1FKiwhDph83XaGc0o0/edit?usp=sharing"",""งบพรบ!AM26"")"),0)</f>
        <v>0</v>
      </c>
      <c r="N74" s="93">
        <f ca="1">IFERROR(__xludf.DUMMYFUNCTION("IMPORTRANGE(""https://docs.google.com/spreadsheets/d/1MeEWN-I1oV_STSDYn1IFDPWt_1FKiwhDph83XaGc0o0/edit?usp=sharing"",""งบพรบ!AO26"")"),0)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IFERROR(__xludf.DUMMYFUNCTION("IMPORTRANGE(""https://docs.google.com/spreadsheets/d/1QqKyyYR6Q21VydFLVH3TRQUabQu_ym0Zz7PgGX0-kHA/edit?usp=sharing"",""แผน!H26"")"),0)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IFERROR(__xludf.DUMMYFUNCTION("IMPORTRANGE(""https://docs.google.com/spreadsheets/d/1QqKyyYR6Q21VydFLVH3TRQUabQu_ym0Zz7PgGX0-kHA/edit?usp=sharing"",""แผน!I26"")"),0)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IFERROR(__xludf.DUMMYFUNCTION("IMPORTRANGE(""https://docs.google.com/spreadsheets/d/1QqKyyYR6Q21VydFLVH3TRQUabQu_ym0Zz7PgGX0-kHA/edit?usp=sharing"",""แผน!F26"")"),0)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IFERROR(__xludf.DUMMYFUNCTION("IMPORTRANGE(""https://docs.google.com/spreadsheets/d/1QqKyyYR6Q21VydFLVH3TRQUabQu_ym0Zz7PgGX0-kHA/edit?usp=sharing"",""แผน!G26"")"),0)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IFERROR(__xludf.DUMMYFUNCTION("IMPORTRANGE(""https://docs.google.com/spreadsheets/d/1QqKyyYR6Q21VydFLVH3TRQUabQu_ym0Zz7PgGX0-kHA/edit?usp=sharing"",""แผน!D26"")"),0)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IFERROR(__xludf.DUMMYFUNCTION("IMPORTRANGE(""https://docs.google.com/spreadsheets/d/1QqKyyYR6Q21VydFLVH3TRQUabQu_ym0Zz7PgGX0-kHA/edit?usp=sharing"",""แผน!E26"")"),0)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IFERROR(__xludf.DUMMYFUNCTION("IMPORTRANGE(""https://docs.google.com/spreadsheets/d/1QqKyyYR6Q21VydFLVH3TRQUabQu_ym0Zz7PgGX0-kHA/edit?usp=sharing"",""แผน!J26"")"),0)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16115</v>
      </c>
      <c r="O88" s="155">
        <f t="shared" ref="O88:O96" ca="1" si="50">IF(L88&gt;0,N88*100/L88,0)</f>
        <v>18.729660622966062</v>
      </c>
      <c r="P88" s="155">
        <f t="shared" ref="P88:P96" ca="1" si="51">IF(M88&gt;0,N88*100/M88,0)</f>
        <v>20.311318376607009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16115</v>
      </c>
      <c r="O90" s="93">
        <f t="shared" ca="1" si="50"/>
        <v>18.729660622966062</v>
      </c>
      <c r="P90" s="93">
        <f t="shared" ca="1" si="51"/>
        <v>20.311318376607009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79340</v>
      </c>
      <c r="N91" s="466">
        <f t="shared" ca="1" si="53"/>
        <v>16115</v>
      </c>
      <c r="O91" s="466">
        <f t="shared" ca="1" si="50"/>
        <v>18.729660622966062</v>
      </c>
      <c r="P91" s="466">
        <f t="shared" ca="1" si="51"/>
        <v>20.311318376607009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IFERROR(__xludf.DUMMYFUNCTION("IMPORTRANGE(""https://docs.google.com/spreadsheets/d/1MeEWN-I1oV_STSDYn1IFDPWt_1FKiwhDph83XaGc0o0/edit?usp=sharing"",""งบพรบ!AQ26"")"),86040)</f>
        <v>86040</v>
      </c>
      <c r="M93" s="93">
        <f ca="1">IFERROR(__xludf.DUMMYFUNCTION("IMPORTRANGE(""https://docs.google.com/spreadsheets/d/1MeEWN-I1oV_STSDYn1IFDPWt_1FKiwhDph83XaGc0o0/edit?usp=sharing"",""งบพรบ!AV26"")"),79340)</f>
        <v>79340</v>
      </c>
      <c r="N93" s="93">
        <f ca="1">IFERROR(__xludf.DUMMYFUNCTION("IMPORTRANGE(""https://docs.google.com/spreadsheets/d/1MeEWN-I1oV_STSDYn1IFDPWt_1FKiwhDph83XaGc0o0/edit?usp=sharing"",""งบพรบ!AX26"")"),16115)</f>
        <v>16115</v>
      </c>
      <c r="O93" s="93">
        <f t="shared" ca="1" si="50"/>
        <v>18.729660622966062</v>
      </c>
      <c r="P93" s="93">
        <f t="shared" ca="1" si="51"/>
        <v>20.311318376607009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IFERROR(__xludf.DUMMYFUNCTION("IMPORTRANGE(""https://docs.google.com/spreadsheets/d/1MeEWN-I1oV_STSDYn1IFDPWt_1FKiwhDph83XaGc0o0/edit?usp=sharing"",""งบพรบ!AT26"")"),0)</f>
        <v>0</v>
      </c>
      <c r="M96" s="93">
        <f ca="1">IFERROR(__xludf.DUMMYFUNCTION("IMPORTRANGE(""https://docs.google.com/spreadsheets/d/1MeEWN-I1oV_STSDYn1IFDPWt_1FKiwhDph83XaGc0o0/edit?usp=sharing"",""งบพรบ!AW26"")"),0)</f>
        <v>0</v>
      </c>
      <c r="N96" s="93">
        <f ca="1">IFERROR(__xludf.DUMMYFUNCTION("IMPORTRANGE(""https://docs.google.com/spreadsheets/d/1MeEWN-I1oV_STSDYn1IFDPWt_1FKiwhDph83XaGc0o0/edit?usp=sharing"",""งบพรบ!AY26"")"),0)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IFERROR(__xludf.DUMMYFUNCTION("IMPORTRANGE(""https://docs.google.com/spreadsheets/d/1QqKyyYR6Q21VydFLVH3TRQUabQu_ym0Zz7PgGX0-kHA/edit?usp=sharing"",""แผน!K26"")"),30)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IFERROR(__xludf.DUMMYFUNCTION("IMPORTRANGE(""https://docs.google.com/spreadsheets/d/1QqKyyYR6Q21VydFLVH3TRQUabQu_ym0Zz7PgGX0-kHA/edit?usp=sharing"",""แผน!L26"")"),10)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IFERROR(__xludf.DUMMYFUNCTION("IMPORTRANGE(""https://docs.google.com/spreadsheets/d/1QqKyyYR6Q21VydFLVH3TRQUabQu_ym0Zz7PgGX0-kHA/edit?usp=sharing"",""แผน!M26"")"),2)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IFERROR(__xludf.DUMMYFUNCTION("IMPORTRANGE(""https://docs.google.com/spreadsheets/d/1QqKyyYR6Q21VydFLVH3TRQUabQu_ym0Zz7PgGX0-kHA/edit?usp=sharing"",""แผน!N26"")"),30)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IFERROR(__xludf.DUMMYFUNCTION("IMPORTRANGE(""https://docs.google.com/spreadsheets/d/1QqKyyYR6Q21VydFLVH3TRQUabQu_ym0Zz7PgGX0-kHA/edit?usp=sharing"",""แผน!O26"")"),10)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IFERROR(__xludf.DUMMYFUNCTION("IMPORTRANGE(""https://docs.google.com/spreadsheets/d/1QqKyyYR6Q21VydFLVH3TRQUabQu_ym0Zz7PgGX0-kHA/edit?usp=sharing"",""แผน!O26"")"),10)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IFERROR(__xludf.DUMMYFUNCTION("IMPORTRANGE(""https://docs.google.com/spreadsheets/d/1QqKyyYR6Q21VydFLVH3TRQUabQu_ym0Zz7PgGX0-kHA/edit?usp=sharing"",""แผน!P26"")"),1)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IFERROR(__xludf.DUMMYFUNCTION("IMPORTRANGE(""https://docs.google.com/spreadsheets/d/1QqKyyYR6Q21VydFLVH3TRQUabQu_ym0Zz7PgGX0-kHA/edit?usp=sharing"",""แผน!P26"")"),1)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IFERROR(__xludf.DUMMYFUNCTION("IMPORTRANGE(""https://docs.google.com/spreadsheets/d/1QqKyyYR6Q21VydFLVH3TRQUabQu_ym0Zz7PgGX0-kHA/edit?usp=sharing"",""แผน!Q26"")"),1)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IFERROR(__xludf.DUMMYFUNCTION("IMPORTRANGE(""https://docs.google.com/spreadsheets/d/1QqKyyYR6Q21VydFLVH3TRQUabQu_ym0Zz7PgGX0-kHA/edit?usp=sharing"",""แผน!Q26"")"),1)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IFERROR(__xludf.DUMMYFUNCTION("IMPORTRANGE(""https://docs.google.com/spreadsheets/d/1QqKyyYR6Q21VydFLVH3TRQUabQu_ym0Zz7PgGX0-kHA/edit?usp=sharing"",""แผน!R26"")"),10)</f>
        <v>10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IFERROR(__xludf.DUMMYFUNCTION("IMPORTRANGE(""https://docs.google.com/spreadsheets/d/1QqKyyYR6Q21VydFLVH3TRQUabQu_ym0Zz7PgGX0-kHA/edit?usp=sharing"",""แผน!R26"")"),10)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IFERROR(__xludf.DUMMYFUNCTION("IMPORTRANGE(""https://docs.google.com/spreadsheets/d/1QqKyyYR6Q21VydFLVH3TRQUabQu_ym0Zz7PgGX0-kHA/edit?usp=sharing"",""แผน!R26"")"),10)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IFERROR(__xludf.DUMMYFUNCTION("IMPORTRANGE(""https://docs.google.com/spreadsheets/d/1QqKyyYR6Q21VydFLVH3TRQUabQu_ym0Zz7PgGX0-kHA/edit?usp=sharing"",""แผน!S26"")"),1)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IFERROR(__xludf.DUMMYFUNCTION("IMPORTRANGE(""https://docs.google.com/spreadsheets/d/1QqKyyYR6Q21VydFLVH3TRQUabQu_ym0Zz7PgGX0-kHA/edit?usp=sharing"",""แผน!T26"")"),1)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IFERROR(__xludf.DUMMYFUNCTION("IMPORTRANGE(""https://docs.google.com/spreadsheets/d/1MeEWN-I1oV_STSDYn1IFDPWt_1FKiwhDph83XaGc0o0/edit?usp=sharing"",""งบพรบ!BA26"")"),0)</f>
        <v>0</v>
      </c>
      <c r="M124" s="93">
        <f ca="1">IFERROR(__xludf.DUMMYFUNCTION("IMPORTRANGE(""https://docs.google.com/spreadsheets/d/1MeEWN-I1oV_STSDYn1IFDPWt_1FKiwhDph83XaGc0o0/edit?usp=sharing"",""งบพรบ!BF26"")"),0)</f>
        <v>0</v>
      </c>
      <c r="N124" s="93">
        <f ca="1">IFERROR(__xludf.DUMMYFUNCTION("IMPORTRANGE(""https://docs.google.com/spreadsheets/d/1MeEWN-I1oV_STSDYn1IFDPWt_1FKiwhDph83XaGc0o0/edit?usp=sharing"",""งบพรบ!BH26"")"),0)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IFERROR(__xludf.DUMMYFUNCTION("IMPORTRANGE(""https://docs.google.com/spreadsheets/d/1MeEWN-I1oV_STSDYn1IFDPWt_1FKiwhDph83XaGc0o0/edit?usp=sharing"",""งบพรบ!BD26"")"),0)</f>
        <v>0</v>
      </c>
      <c r="M127" s="93">
        <f ca="1">IFERROR(__xludf.DUMMYFUNCTION("IMPORTRANGE(""https://docs.google.com/spreadsheets/d/1MeEWN-I1oV_STSDYn1IFDPWt_1FKiwhDph83XaGc0o0/edit?usp=sharing"",""งบพรบ!BG26"")"),0)</f>
        <v>0</v>
      </c>
      <c r="N127" s="93">
        <f ca="1">IFERROR(__xludf.DUMMYFUNCTION("IMPORTRANGE(""https://docs.google.com/spreadsheets/d/1MeEWN-I1oV_STSDYn1IFDPWt_1FKiwhDph83XaGc0o0/edit?usp=sharing"",""งบพรบ!BI26"")"),0)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IFERROR(__xludf.DUMMYFUNCTION("IMPORTRANGE(""https://docs.google.com/spreadsheets/d/1MeEWN-I1oV_STSDYn1IFDPWt_1FKiwhDph83XaGc0o0/edit?usp=sharing"",""งบพรบ!BK26"")"),0)</f>
        <v>0</v>
      </c>
      <c r="M137" s="93">
        <f ca="1">IFERROR(__xludf.DUMMYFUNCTION("IMPORTRANGE(""https://docs.google.com/spreadsheets/d/1MeEWN-I1oV_STSDYn1IFDPWt_1FKiwhDph83XaGc0o0/edit?usp=sharing"",""งบพรบ!BP26"")"),0)</f>
        <v>0</v>
      </c>
      <c r="N137" s="93">
        <f ca="1">IFERROR(__xludf.DUMMYFUNCTION("IMPORTRANGE(""https://docs.google.com/spreadsheets/d/1MeEWN-I1oV_STSDYn1IFDPWt_1FKiwhDph83XaGc0o0/edit?usp=sharing"",""งบพรบ!BR26"")"),0)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IFERROR(__xludf.DUMMYFUNCTION("IMPORTRANGE(""https://docs.google.com/spreadsheets/d/1MeEWN-I1oV_STSDYn1IFDPWt_1FKiwhDph83XaGc0o0/edit?usp=sharing"",""งบพรบ!BN26"")"),0)</f>
        <v>0</v>
      </c>
      <c r="M140" s="93">
        <f ca="1">IFERROR(__xludf.DUMMYFUNCTION("IMPORTRANGE(""https://docs.google.com/spreadsheets/d/1MeEWN-I1oV_STSDYn1IFDPWt_1FKiwhDph83XaGc0o0/edit?usp=sharing"",""งบพรบ!BQ26"")"),0)</f>
        <v>0</v>
      </c>
      <c r="N140" s="93">
        <f ca="1">IFERROR(__xludf.DUMMYFUNCTION("IMPORTRANGE(""https://docs.google.com/spreadsheets/d/1MeEWN-I1oV_STSDYn1IFDPWt_1FKiwhDph83XaGc0o0/edit?usp=sharing"",""งบพรบ!BS26"")"),0)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IFERROR(__xludf.DUMMYFUNCTION("IMPORTRANGE(""https://docs.google.com/spreadsheets/d/1QqKyyYR6Q21VydFLVH3TRQUabQu_ym0Zz7PgGX0-kHA/edit?usp=sharing"",""แผน!U26"")"),0)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IFERROR(__xludf.DUMMYFUNCTION("IMPORTRANGE(""https://docs.google.com/spreadsheets/d/1QqKyyYR6Q21VydFLVH3TRQUabQu_ym0Zz7PgGX0-kHA/edit?usp=sharing"",""แผน!V26"")"),0)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IFERROR(__xludf.DUMMYFUNCTION("IMPORTRANGE(""https://docs.google.com/spreadsheets/d/1QqKyyYR6Q21VydFLVH3TRQUabQu_ym0Zz7PgGX0-kHA/edit?usp=sharing"",""แผน!W26"")"),0)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2400</v>
      </c>
      <c r="N149" s="155">
        <f t="shared" ca="1" si="77"/>
        <v>1888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78.666666666666671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0</v>
      </c>
      <c r="M151" s="93">
        <f t="shared" ca="1" si="80"/>
        <v>2400</v>
      </c>
      <c r="N151" s="93">
        <f t="shared" ca="1" si="80"/>
        <v>1888</v>
      </c>
      <c r="O151" s="93">
        <f t="shared" ca="1" si="78"/>
        <v>0</v>
      </c>
      <c r="P151" s="93">
        <f t="shared" ca="1" si="79"/>
        <v>78.666666666666671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2400</v>
      </c>
      <c r="N152" s="466">
        <f t="shared" ca="1" si="81"/>
        <v>1888</v>
      </c>
      <c r="O152" s="466">
        <f t="shared" ca="1" si="78"/>
        <v>0</v>
      </c>
      <c r="P152" s="466">
        <f t="shared" ca="1" si="79"/>
        <v>78.666666666666671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IFERROR(__xludf.DUMMYFUNCTION("IMPORTRANGE(""https://docs.google.com/spreadsheets/d/1MeEWN-I1oV_STSDYn1IFDPWt_1FKiwhDph83XaGc0o0/edit?usp=sharing"",""งบพรบ!BU26"")"),0)</f>
        <v>0</v>
      </c>
      <c r="M154" s="93">
        <f ca="1">IFERROR(__xludf.DUMMYFUNCTION("IMPORTRANGE(""https://docs.google.com/spreadsheets/d/1MeEWN-I1oV_STSDYn1IFDPWt_1FKiwhDph83XaGc0o0/edit?usp=sharing"",""งบพรบ!BZ26"")"),2400)</f>
        <v>2400</v>
      </c>
      <c r="N154" s="93">
        <f ca="1">IFERROR(__xludf.DUMMYFUNCTION("IMPORTRANGE(""https://docs.google.com/spreadsheets/d/1MeEWN-I1oV_STSDYn1IFDPWt_1FKiwhDph83XaGc0o0/edit?usp=sharing"",""งบพรบ!CB26"")"),1888)</f>
        <v>1888</v>
      </c>
      <c r="O154" s="93">
        <f t="shared" ca="1" si="78"/>
        <v>0</v>
      </c>
      <c r="P154" s="93">
        <f t="shared" ca="1" si="79"/>
        <v>78.666666666666671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IFERROR(__xludf.DUMMYFUNCTION("IMPORTRANGE(""https://docs.google.com/spreadsheets/d/1MeEWN-I1oV_STSDYn1IFDPWt_1FKiwhDph83XaGc0o0/edit?usp=sharing"",""งบพรบ!BX26"")"),0)</f>
        <v>0</v>
      </c>
      <c r="M157" s="93">
        <f ca="1">IFERROR(__xludf.DUMMYFUNCTION("IMPORTRANGE(""https://docs.google.com/spreadsheets/d/1MeEWN-I1oV_STSDYn1IFDPWt_1FKiwhDph83XaGc0o0/edit?usp=sharing"",""งบพรบ!CA26"")"),0)</f>
        <v>0</v>
      </c>
      <c r="N157" s="93">
        <f ca="1">IFERROR(__xludf.DUMMYFUNCTION("IMPORTRANGE(""https://docs.google.com/spreadsheets/d/1MeEWN-I1oV_STSDYn1IFDPWt_1FKiwhDph83XaGc0o0/edit?usp=sharing"",""งบพรบ!CC26"")"),0)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IFERROR(__xludf.DUMMYFUNCTION("IMPORTRANGE(""https://docs.google.com/spreadsheets/d/1QqKyyYR6Q21VydFLVH3TRQUabQu_ym0Zz7PgGX0-kHA/edit?usp=sharing"",""แผน!X26"")"),0)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41815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52.74423053928016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41815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52.74423053928016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41815</v>
      </c>
      <c r="N168" s="466">
        <f t="shared" ca="1" si="88"/>
        <v>22055</v>
      </c>
      <c r="O168" s="466">
        <f t="shared" ca="1" si="85"/>
        <v>100</v>
      </c>
      <c r="P168" s="466">
        <f t="shared" ca="1" si="86"/>
        <v>52.74423053928016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IFERROR(__xludf.DUMMYFUNCTION("IMPORTRANGE(""https://docs.google.com/spreadsheets/d/1MeEWN-I1oV_STSDYn1IFDPWt_1FKiwhDph83XaGc0o0/edit?usp=sharing"",""งบพรบ!CE26"")"),22055)</f>
        <v>22055</v>
      </c>
      <c r="M170" s="93">
        <f ca="1">IFERROR(__xludf.DUMMYFUNCTION("IMPORTRANGE(""https://docs.google.com/spreadsheets/d/1MeEWN-I1oV_STSDYn1IFDPWt_1FKiwhDph83XaGc0o0/edit?usp=sharing"",""งบพรบ!CJ26"")"),41815)</f>
        <v>41815</v>
      </c>
      <c r="N170" s="93">
        <f ca="1">IFERROR(__xludf.DUMMYFUNCTION("IMPORTRANGE(""https://docs.google.com/spreadsheets/d/1MeEWN-I1oV_STSDYn1IFDPWt_1FKiwhDph83XaGc0o0/edit?usp=sharing"",""งบพรบ!CL26"")"),22055)</f>
        <v>22055</v>
      </c>
      <c r="O170" s="93">
        <f t="shared" ca="1" si="85"/>
        <v>100</v>
      </c>
      <c r="P170" s="93">
        <f t="shared" ca="1" si="86"/>
        <v>52.74423053928016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IFERROR(__xludf.DUMMYFUNCTION("IMPORTRANGE(""https://docs.google.com/spreadsheets/d/1MeEWN-I1oV_STSDYn1IFDPWt_1FKiwhDph83XaGc0o0/edit?usp=sharing"",""งบพรบ!CH26"")"),0)</f>
        <v>0</v>
      </c>
      <c r="M173" s="93">
        <f ca="1">IFERROR(__xludf.DUMMYFUNCTION("IMPORTRANGE(""https://docs.google.com/spreadsheets/d/1MeEWN-I1oV_STSDYn1IFDPWt_1FKiwhDph83XaGc0o0/edit?usp=sharing"",""งบพรบ!CK26"")"),0)</f>
        <v>0</v>
      </c>
      <c r="N173" s="93">
        <f ca="1">IFERROR(__xludf.DUMMYFUNCTION("IMPORTRANGE(""https://docs.google.com/spreadsheets/d/1MeEWN-I1oV_STSDYn1IFDPWt_1FKiwhDph83XaGc0o0/edit?usp=sharing"",""งบพรบ!CM26"")"),0)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55500</v>
      </c>
      <c r="M181" s="155">
        <f t="shared" ca="1" si="92"/>
        <v>40500</v>
      </c>
      <c r="N181" s="155">
        <f t="shared" ca="1" si="92"/>
        <v>7010</v>
      </c>
      <c r="O181" s="155">
        <f t="shared" ref="O181:O189" ca="1" si="93">IF(L181&gt;0,N181*100/L181,0)</f>
        <v>12.63063063063063</v>
      </c>
      <c r="P181" s="155">
        <f t="shared" ref="P181:P189" ca="1" si="94">IF(M181&gt;0,N181*100/M181,0)</f>
        <v>17.308641975308642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55500</v>
      </c>
      <c r="M183" s="93">
        <f t="shared" ca="1" si="95"/>
        <v>40500</v>
      </c>
      <c r="N183" s="93">
        <f t="shared" ca="1" si="95"/>
        <v>7010</v>
      </c>
      <c r="O183" s="93">
        <f t="shared" ca="1" si="93"/>
        <v>12.63063063063063</v>
      </c>
      <c r="P183" s="93">
        <f t="shared" ca="1" si="94"/>
        <v>17.308641975308642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6">L185+L186</f>
        <v>55500</v>
      </c>
      <c r="M184" s="466">
        <f t="shared" ca="1" si="96"/>
        <v>40500</v>
      </c>
      <c r="N184" s="466">
        <f t="shared" ca="1" si="96"/>
        <v>7010</v>
      </c>
      <c r="O184" s="466">
        <f t="shared" ca="1" si="93"/>
        <v>12.63063063063063</v>
      </c>
      <c r="P184" s="466">
        <f t="shared" ca="1" si="94"/>
        <v>17.308641975308642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IFERROR(__xludf.DUMMYFUNCTION("IMPORTRANGE(""https://docs.google.com/spreadsheets/d/1MeEWN-I1oV_STSDYn1IFDPWt_1FKiwhDph83XaGc0o0/edit?usp=sharing"",""งบพรบ!CO26"")"),55500)</f>
        <v>55500</v>
      </c>
      <c r="M186" s="93">
        <f ca="1">IFERROR(__xludf.DUMMYFUNCTION("IMPORTRANGE(""https://docs.google.com/spreadsheets/d/1MeEWN-I1oV_STSDYn1IFDPWt_1FKiwhDph83XaGc0o0/edit?usp=sharing"",""งบพรบ!CT26"")"),40500)</f>
        <v>40500</v>
      </c>
      <c r="N186" s="93">
        <f ca="1">IFERROR(__xludf.DUMMYFUNCTION("IMPORTRANGE(""https://docs.google.com/spreadsheets/d/1MeEWN-I1oV_STSDYn1IFDPWt_1FKiwhDph83XaGc0o0/edit?usp=sharing"",""งบพรบ!CV26"")"),7010)</f>
        <v>7010</v>
      </c>
      <c r="O186" s="93">
        <f t="shared" ca="1" si="93"/>
        <v>12.63063063063063</v>
      </c>
      <c r="P186" s="93">
        <f t="shared" ca="1" si="94"/>
        <v>17.308641975308642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IFERROR(__xludf.DUMMYFUNCTION("IMPORTRANGE(""https://docs.google.com/spreadsheets/d/1MeEWN-I1oV_STSDYn1IFDPWt_1FKiwhDph83XaGc0o0/edit?usp=sharing"",""งบพรบ!CR26"")"),0)</f>
        <v>0</v>
      </c>
      <c r="M189" s="93">
        <f ca="1">IFERROR(__xludf.DUMMYFUNCTION("IMPORTRANGE(""https://docs.google.com/spreadsheets/d/1MeEWN-I1oV_STSDYn1IFDPWt_1FKiwhDph83XaGc0o0/edit?usp=sharing"",""งบพรบ!CU26"")"),0)</f>
        <v>0</v>
      </c>
      <c r="N189" s="93">
        <f ca="1">IFERROR(__xludf.DUMMYFUNCTION("IMPORTRANGE(""https://docs.google.com/spreadsheets/d/1MeEWN-I1oV_STSDYn1IFDPWt_1FKiwhDph83XaGc0o0/edit?usp=sharing"",""งบพรบ!CW26"")"),0)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IFERROR(__xludf.DUMMYFUNCTION("IMPORTRANGE(""https://docs.google.com/spreadsheets/d/1QqKyyYR6Q21VydFLVH3TRQUabQu_ym0Zz7PgGX0-kHA/edit?usp=sharing"",""แผน!Z26"")"),6000)</f>
        <v>6000</v>
      </c>
      <c r="M191" s="155"/>
      <c r="N191" s="276">
        <v>1500</v>
      </c>
      <c r="O191" s="155">
        <f ca="1">IF(L191&gt;0,N191*100/L191,0)</f>
        <v>25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IFERROR(__xludf.DUMMYFUNCTION("IMPORTRANGE(""https://docs.google.com/spreadsheets/d/1QqKyyYR6Q21VydFLVH3TRQUabQu_ym0Zz7PgGX0-kHA/edit?usp=sharing"",""แผน!AC26"")"),4)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77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77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31000</v>
      </c>
      <c r="M198" s="155"/>
      <c r="N198" s="155">
        <f>N199+N200+N201+N202</f>
        <v>5510</v>
      </c>
      <c r="O198" s="155">
        <f ca="1">IF(L198&gt;0,N198*100/L198,0)</f>
        <v>17.774193548387096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IFERROR(__xludf.DUMMYFUNCTION("IMPORTRANGE(""https://docs.google.com/spreadsheets/d/1QqKyyYR6Q21VydFLVH3TRQUabQu_ym0Zz7PgGX0-kHA/edit?usp=sharing"",""แผน!AE26"")"),2000)</f>
        <v>2000</v>
      </c>
      <c r="M199" s="466"/>
      <c r="N199" s="801">
        <v>620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IFERROR(__xludf.DUMMYFUNCTION("IMPORTRANGE(""https://docs.google.com/spreadsheets/d/1QqKyyYR6Q21VydFLVH3TRQUabQu_ym0Zz7PgGX0-kHA/edit?usp=sharing"",""แผน!AF26"")"),16000)</f>
        <v>16000</v>
      </c>
      <c r="M200" s="466"/>
      <c r="N200" s="801">
        <v>4890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IFERROR(__xludf.DUMMYFUNCTION("IMPORTRANGE(""https://docs.google.com/spreadsheets/d/1QqKyyYR6Q21VydFLVH3TRQUabQu_ym0Zz7PgGX0-kHA/edit?usp=sharing"",""แผน!AG26"")"),8000)</f>
        <v>8000</v>
      </c>
      <c r="M201" s="466"/>
      <c r="N201" s="801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IFERROR(__xludf.DUMMYFUNCTION("IMPORTRANGE(""https://docs.google.com/spreadsheets/d/1QqKyyYR6Q21VydFLVH3TRQUabQu_ym0Zz7PgGX0-kHA/edit?usp=sharing"",""แผน!AH26"")"),5000)</f>
        <v>5000</v>
      </c>
      <c r="M202" s="466"/>
      <c r="N202" s="801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IFERROR(__xludf.DUMMYFUNCTION("IMPORTRANGE(""https://docs.google.com/spreadsheets/d/1QqKyyYR6Q21VydFLVH3TRQUabQu_ym0Zz7PgGX0-kHA/edit?usp=sharing"",""แผน!AI26"")"),2)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IFERROR(__xludf.DUMMYFUNCTION("IMPORTRANGE(""https://docs.google.com/spreadsheets/d/1QqKyyYR6Q21VydFLVH3TRQUabQu_ym0Zz7PgGX0-kHA/edit?usp=sharing"",""แผน!AK26"")"),0)</f>
        <v>0</v>
      </c>
      <c r="M210" s="466"/>
      <c r="N210" s="801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IFERROR(__xludf.DUMMYFUNCTION("IMPORTRANGE(""https://docs.google.com/spreadsheets/d/1QqKyyYR6Q21VydFLVH3TRQUabQu_ym0Zz7PgGX0-kHA/edit?usp=sharing"",""แผน!AL26"")"),0)</f>
        <v>0</v>
      </c>
      <c r="M211" s="466"/>
      <c r="N211" s="801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IFERROR(__xludf.DUMMYFUNCTION("IMPORTRANGE(""https://docs.google.com/spreadsheets/d/1QqKyyYR6Q21VydFLVH3TRQUabQu_ym0Zz7PgGX0-kHA/edit?usp=sharing"",""แผน!AM26"")"),0)</f>
        <v>0</v>
      </c>
      <c r="M212" s="466"/>
      <c r="N212" s="801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IFERROR(__xludf.DUMMYFUNCTION("IMPORTRANGE(""https://docs.google.com/spreadsheets/d/1QqKyyYR6Q21VydFLVH3TRQUabQu_ym0Zz7PgGX0-kHA/edit?usp=sharing"",""แผน!AN26"")"),0)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IFERROR(__xludf.DUMMYFUNCTION("IMPORTRANGE(""https://docs.google.com/spreadsheets/d/1QqKyyYR6Q21VydFLVH3TRQUabQu_ym0Zz7PgGX0-kHA/edit?usp=sharing"",""แผน!AN26"")"),0)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IFERROR(__xludf.DUMMYFUNCTION("IMPORTRANGE(""https://docs.google.com/spreadsheets/d/1QqKyyYR6Q21VydFLVH3TRQUabQu_ym0Zz7PgGX0-kHA/edit?usp=sharing"",""แผน!AP26"")"),5000)</f>
        <v>5000</v>
      </c>
      <c r="M218" s="466"/>
      <c r="N218" s="801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IFERROR(__xludf.DUMMYFUNCTION("IMPORTRANGE(""https://docs.google.com/spreadsheets/d/1QqKyyYR6Q21VydFLVH3TRQUabQu_ym0Zz7PgGX0-kHA/edit?usp=sharing"",""แผน!AQ26"")"),13500)</f>
        <v>13500</v>
      </c>
      <c r="M219" s="466"/>
      <c r="N219" s="801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IFERROR(__xludf.DUMMYFUNCTION("IMPORTRANGE(""https://docs.google.com/spreadsheets/d/1QqKyyYR6Q21VydFLVH3TRQUabQu_ym0Zz7PgGX0-kHA/edit?usp=sharing"",""แผน!AR26"")"),0)</f>
        <v>0</v>
      </c>
      <c r="M220" s="466"/>
      <c r="N220" s="801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IFERROR(__xludf.DUMMYFUNCTION("IMPORTRANGE(""https://docs.google.com/spreadsheets/d/1QqKyyYR6Q21VydFLVH3TRQUabQu_ym0Zz7PgGX0-kHA/edit?usp=sharing"",""แผน!AT26"")"),50000)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IFERROR(__xludf.DUMMYFUNCTION("IMPORTRANGE(""https://docs.google.com/spreadsheets/d/1QqKyyYR6Q21VydFLVH3TRQUabQu_ym0Zz7PgGX0-kHA/edit?usp=sharing"",""แผน!AT26"")"),50000)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IFERROR(__xludf.DUMMYFUNCTION("IMPORTRANGE(""https://docs.google.com/spreadsheets/d/1QqKyyYR6Q21VydFLVH3TRQUabQu_ym0Zz7PgGX0-kHA/edit?usp=sharing"",""แผน!AS26"")"),0)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5">I237+I248</f>
        <v>0</v>
      </c>
      <c r="J226" s="821">
        <f t="shared" si="105"/>
        <v>0</v>
      </c>
      <c r="K226" s="82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6">L238+L249</f>
        <v>0</v>
      </c>
      <c r="M227" s="831"/>
      <c r="N227" s="831">
        <f t="shared" ref="N227:N231" si="107">N238+N249</f>
        <v>0</v>
      </c>
      <c r="O227" s="832"/>
      <c r="P227" s="83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35"/>
      <c r="R229" s="835"/>
      <c r="S229" s="835"/>
      <c r="T229" s="835"/>
      <c r="U229" s="835"/>
      <c r="V229" s="835"/>
      <c r="W229" s="835"/>
      <c r="X229" s="835"/>
      <c r="Y229" s="835"/>
      <c r="Z229" s="835"/>
    </row>
    <row r="230" spans="1:2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35"/>
      <c r="R230" s="835"/>
      <c r="S230" s="835"/>
      <c r="T230" s="835"/>
      <c r="U230" s="835"/>
      <c r="V230" s="835"/>
      <c r="W230" s="835"/>
      <c r="X230" s="835"/>
      <c r="Y230" s="835"/>
      <c r="Z230" s="835"/>
    </row>
    <row r="231" spans="1:2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35"/>
      <c r="R231" s="835"/>
      <c r="S231" s="835"/>
      <c r="T231" s="835"/>
      <c r="U231" s="835"/>
      <c r="V231" s="835"/>
      <c r="W231" s="835"/>
      <c r="X231" s="835"/>
      <c r="Y231" s="835"/>
      <c r="Z231" s="835"/>
    </row>
    <row r="232" spans="1:2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IFERROR(__xludf.DUMMYFUNCTION("IMPORTRANGE(""https://docs.google.com/spreadsheets/d/1QqKyyYR6Q21VydFLVH3TRQUabQu_ym0Zz7PgGX0-kHA/edit?usp=sharing"",""แผน!AV26"")"),0)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IFERROR(__xludf.DUMMYFUNCTION("IMPORTRANGE(""https://docs.google.com/spreadsheets/d/1QqKyyYR6Q21VydFLVH3TRQUabQu_ym0Zz7PgGX0-kHA/edit?usp=sharing"",""แผน!AW26"")"),0)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IFERROR(__xludf.DUMMYFUNCTION("IMPORTRANGE(""https://docs.google.com/spreadsheets/d/1QqKyyYR6Q21VydFLVH3TRQUabQu_ym0Zz7PgGX0-kHA/edit?usp=sharing"",""แผน!AX26"")"),0)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IFERROR(__xludf.DUMMYFUNCTION("IMPORTRANGE(""https://docs.google.com/spreadsheets/d/1QqKyyYR6Q21VydFLVH3TRQUabQu_ym0Zz7PgGX0-kHA/edit?usp=sharing"",""แผน!AY26"")"),0)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IFERROR(__xludf.DUMMYFUNCTION("IMPORTRANGE(""https://docs.google.com/spreadsheets/d/1QqKyyYR6Q21VydFLVH3TRQUabQu_ym0Zz7PgGX0-kHA/edit?usp=sharing"",""แผน!BE26"")"),0)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IFERROR(__xludf.DUMMYFUNCTION("IMPORTRANGE(""https://docs.google.com/spreadsheets/d/1QqKyyYR6Q21VydFLVH3TRQUabQu_ym0Zz7PgGX0-kHA/edit?usp=sharing"",""แผน!AZ26"")"),0)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IFERROR(__xludf.DUMMYFUNCTION("IMPORTRANGE(""https://docs.google.com/spreadsheets/d/1QqKyyYR6Q21VydFLVH3TRQUabQu_ym0Zz7PgGX0-kHA/edit?usp=sharing"",""แผน!BA26"")"),0)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IFERROR(__xludf.DUMMYFUNCTION("IMPORTRANGE(""https://docs.google.com/spreadsheets/d/1QqKyyYR6Q21VydFLVH3TRQUabQu_ym0Zz7PgGX0-kHA/edit?usp=sharing"",""แผน!BB26"")"),0)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IFERROR(__xludf.DUMMYFUNCTION("IMPORTRANGE(""https://docs.google.com/spreadsheets/d/1QqKyyYR6Q21VydFLVH3TRQUabQu_ym0Zz7PgGX0-kHA/edit?usp=sharing"",""แผน!BC26"")"),0)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IFERROR(__xludf.DUMMYFUNCTION("IMPORTRANGE(""https://docs.google.com/spreadsheets/d/1QqKyyYR6Q21VydFLVH3TRQUabQu_ym0Zz7PgGX0-kHA/edit?usp=sharing"",""แผน!BF26"")"),0)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30</v>
      </c>
      <c r="J260" s="253">
        <f t="shared" si="115"/>
        <v>30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34500</v>
      </c>
      <c r="M261" s="155">
        <f t="shared" ca="1" si="116"/>
        <v>31500</v>
      </c>
      <c r="N261" s="155">
        <f t="shared" ca="1" si="116"/>
        <v>31500</v>
      </c>
      <c r="O261" s="155">
        <f t="shared" ref="O261:O269" ca="1" si="117">IF(L261&gt;0,N261*100/L261,0)</f>
        <v>91.304347826086953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34500</v>
      </c>
      <c r="M263" s="93">
        <f t="shared" ca="1" si="119"/>
        <v>31500</v>
      </c>
      <c r="N263" s="93">
        <f t="shared" ca="1" si="119"/>
        <v>31500</v>
      </c>
      <c r="O263" s="93">
        <f t="shared" ca="1" si="117"/>
        <v>91.304347826086953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0">L265+L266</f>
        <v>34500</v>
      </c>
      <c r="M264" s="466">
        <f t="shared" ca="1" si="120"/>
        <v>31500</v>
      </c>
      <c r="N264" s="466">
        <f t="shared" ca="1" si="120"/>
        <v>31500</v>
      </c>
      <c r="O264" s="466">
        <f t="shared" ca="1" si="117"/>
        <v>91.304347826086953</v>
      </c>
      <c r="P264" s="466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IFERROR(__xludf.DUMMYFUNCTION("IMPORTRANGE(""https://docs.google.com/spreadsheets/d/1MeEWN-I1oV_STSDYn1IFDPWt_1FKiwhDph83XaGc0o0/edit?usp=sharing"",""งบพรบ!CY26"")"),34500)</f>
        <v>34500</v>
      </c>
      <c r="M266" s="93">
        <f ca="1">IFERROR(__xludf.DUMMYFUNCTION("IMPORTRANGE(""https://docs.google.com/spreadsheets/d/1MeEWN-I1oV_STSDYn1IFDPWt_1FKiwhDph83XaGc0o0/edit?usp=sharing"",""งบพรบ!DD26"")"),31500)</f>
        <v>31500</v>
      </c>
      <c r="N266" s="93">
        <f ca="1">IFERROR(__xludf.DUMMYFUNCTION("IMPORTRANGE(""https://docs.google.com/spreadsheets/d/1MeEWN-I1oV_STSDYn1IFDPWt_1FKiwhDph83XaGc0o0/edit?usp=sharing"",""งบพรบ!DF26"")"),31500)</f>
        <v>31500</v>
      </c>
      <c r="O266" s="93">
        <f t="shared" ca="1" si="117"/>
        <v>91.304347826086953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IFERROR(__xludf.DUMMYFUNCTION("IMPORTRANGE(""https://docs.google.com/spreadsheets/d/1MeEWN-I1oV_STSDYn1IFDPWt_1FKiwhDph83XaGc0o0/edit?usp=sharing"",""งบพรบ!DB26"")"),0)</f>
        <v>0</v>
      </c>
      <c r="M269" s="93">
        <f ca="1">IFERROR(__xludf.DUMMYFUNCTION("IMPORTRANGE(""https://docs.google.com/spreadsheets/d/1MeEWN-I1oV_STSDYn1IFDPWt_1FKiwhDph83XaGc0o0/edit?usp=sharing"",""งบพรบ!DE26"")"),0)</f>
        <v>0</v>
      </c>
      <c r="N269" s="93">
        <f ca="1">IFERROR(__xludf.DUMMYFUNCTION("IMPORTRANGE(""https://docs.google.com/spreadsheets/d/1MeEWN-I1oV_STSDYn1IFDPWt_1FKiwhDph83XaGc0o0/edit?usp=sharing"",""งบพรบ!DG26"")"),0)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IFERROR(__xludf.DUMMYFUNCTION("IMPORTRANGE(""https://docs.google.com/spreadsheets/d/1QqKyyYR6Q21VydFLVH3TRQUabQu_ym0Zz7PgGX0-kHA/edit?usp=sharing"",""แผน!EA26"")"),30)</f>
        <v>30</v>
      </c>
      <c r="J271" s="215">
        <v>30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30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300</v>
      </c>
      <c r="J276" s="375">
        <f t="shared" si="124"/>
        <v>300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4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413310</v>
      </c>
      <c r="M277" s="155">
        <f t="shared" ca="1" si="125"/>
        <v>277480</v>
      </c>
      <c r="N277" s="155">
        <f t="shared" ca="1" si="125"/>
        <v>134239.1</v>
      </c>
      <c r="O277" s="155">
        <f t="shared" ref="O277:O285" ca="1" si="126">IF(L277&gt;0,N277*100/L277,0)</f>
        <v>32.479035106820547</v>
      </c>
      <c r="P277" s="155">
        <f t="shared" ref="P277:P285" ca="1" si="127">IF(M277&gt;0,N277*100/M277,0)</f>
        <v>48.377937148623325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413310</v>
      </c>
      <c r="M279" s="93">
        <f t="shared" ca="1" si="128"/>
        <v>277480</v>
      </c>
      <c r="N279" s="93">
        <f t="shared" ca="1" si="128"/>
        <v>134239.1</v>
      </c>
      <c r="O279" s="93">
        <f t="shared" ca="1" si="126"/>
        <v>32.479035106820547</v>
      </c>
      <c r="P279" s="93">
        <f t="shared" ca="1" si="127"/>
        <v>48.377937148623325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29">L281+L282</f>
        <v>413310</v>
      </c>
      <c r="M280" s="466">
        <f t="shared" ca="1" si="129"/>
        <v>277480</v>
      </c>
      <c r="N280" s="466">
        <f t="shared" ca="1" si="129"/>
        <v>134239.1</v>
      </c>
      <c r="O280" s="466">
        <f t="shared" ca="1" si="126"/>
        <v>32.479035106820547</v>
      </c>
      <c r="P280" s="466">
        <f t="shared" ca="1" si="127"/>
        <v>48.377937148623325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IFERROR(__xludf.DUMMYFUNCTION("IMPORTRANGE(""https://docs.google.com/spreadsheets/d/1MeEWN-I1oV_STSDYn1IFDPWt_1FKiwhDph83XaGc0o0/edit?usp=sharing"",""งบพรบ!DI26"")"),413310)</f>
        <v>413310</v>
      </c>
      <c r="M282" s="93">
        <f ca="1">IFERROR(__xludf.DUMMYFUNCTION("IMPORTRANGE(""https://docs.google.com/spreadsheets/d/1MeEWN-I1oV_STSDYn1IFDPWt_1FKiwhDph83XaGc0o0/edit?usp=sharing"",""งบพรบ!DN26"")"),277480)</f>
        <v>277480</v>
      </c>
      <c r="N282" s="93">
        <f ca="1">IFERROR(__xludf.DUMMYFUNCTION("IMPORTRANGE(""https://docs.google.com/spreadsheets/d/1MeEWN-I1oV_STSDYn1IFDPWt_1FKiwhDph83XaGc0o0/edit?usp=sharing"",""งบพรบ!DP26"")"),134239.1)</f>
        <v>134239.1</v>
      </c>
      <c r="O282" s="93">
        <f t="shared" ca="1" si="126"/>
        <v>32.479035106820547</v>
      </c>
      <c r="P282" s="93">
        <f t="shared" ca="1" si="127"/>
        <v>48.377937148623325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IFERROR(__xludf.DUMMYFUNCTION("IMPORTRANGE(""https://docs.google.com/spreadsheets/d/1MeEWN-I1oV_STSDYn1IFDPWt_1FKiwhDph83XaGc0o0/edit?usp=sharing"",""งบพรบ!DL26"")"),0)</f>
        <v>0</v>
      </c>
      <c r="M285" s="93">
        <f ca="1">IFERROR(__xludf.DUMMYFUNCTION("IMPORTRANGE(""https://docs.google.com/spreadsheets/d/1MeEWN-I1oV_STSDYn1IFDPWt_1FKiwhDph83XaGc0o0/edit?usp=sharing"",""งบพรบ!DO26"")"),0)</f>
        <v>0</v>
      </c>
      <c r="N285" s="93">
        <f ca="1">IFERROR(__xludf.DUMMYFUNCTION("IMPORTRANGE(""https://docs.google.com/spreadsheets/d/1MeEWN-I1oV_STSDYn1IFDPWt_1FKiwhDph83XaGc0o0/edit?usp=sharing"",""งบพรบ!DQ26"")"),0)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IFERROR(__xludf.DUMMYFUNCTION("IMPORTRANGE(""https://docs.google.com/spreadsheets/d/1QqKyyYR6Q21VydFLVH3TRQUabQu_ym0Zz7PgGX0-kHA/edit?usp=sharing"",""แผน!EC26"")"),300)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IFERROR(__xludf.DUMMYFUNCTION("IMPORTRANGE(""https://docs.google.com/spreadsheets/d/1QqKyyYR6Q21VydFLVH3TRQUabQu_ym0Zz7PgGX0-kHA/edit?usp=sharing"",""แผน!EB26"")"),30)</f>
        <v>30</v>
      </c>
      <c r="J288" s="648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IFERROR(__xludf.DUMMYFUNCTION("IMPORTRANGE(""https://docs.google.com/spreadsheets/d/1QqKyyYR6Q21VydFLVH3TRQUabQu_ym0Zz7PgGX0-kHA/edit?usp=sharing"",""แผน!EB26"")"),30)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IFERROR(__xludf.DUMMYFUNCTION("IMPORTRANGE(""https://docs.google.com/spreadsheets/d/1QqKyyYR6Q21VydFLVH3TRQUabQu_ym0Zz7PgGX0-kHA/edit?usp=sharing"",""แผน!EB26"")"),30)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IFERROR(__xludf.DUMMYFUNCTION("IMPORTRANGE(""https://docs.google.com/spreadsheets/d/1QqKyyYR6Q21VydFLVH3TRQUabQu_ym0Zz7PgGX0-kHA/edit?usp=sharing"",""แผน!EB26"")"),30)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1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IFERROR(__xludf.DUMMYFUNCTION("IMPORTRANGE(""https://docs.google.com/spreadsheets/d/1QqKyyYR6Q21VydFLVH3TRQUabQu_ym0Zz7PgGX0-kHA/edit?usp=sharing"",""แผน!EB26"")"),30)</f>
        <v>30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4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IFERROR(__xludf.DUMMYFUNCTION("IMPORTRANGE(""https://docs.google.com/spreadsheets/d/1MeEWN-I1oV_STSDYn1IFDPWt_1FKiwhDph83XaGc0o0/edit?usp=sharing"",""งบพรบ!DS26"")"),0)</f>
        <v>0</v>
      </c>
      <c r="M303" s="93">
        <f ca="1">IFERROR(__xludf.DUMMYFUNCTION("IMPORTRANGE(""https://docs.google.com/spreadsheets/d/1MeEWN-I1oV_STSDYn1IFDPWt_1FKiwhDph83XaGc0o0/edit?usp=sharing"",""งบพรบ!DX26"")"),0)</f>
        <v>0</v>
      </c>
      <c r="N303" s="93">
        <f ca="1">IFERROR(__xludf.DUMMYFUNCTION("IMPORTRANGE(""https://docs.google.com/spreadsheets/d/1MeEWN-I1oV_STSDYn1IFDPWt_1FKiwhDph83XaGc0o0/edit?usp=sharing"",""งบพรบ!DZ26"")"),0)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IFERROR(__xludf.DUMMYFUNCTION("IMPORTRANGE(""https://docs.google.com/spreadsheets/d/1MeEWN-I1oV_STSDYn1IFDPWt_1FKiwhDph83XaGc0o0/edit?usp=sharing"",""งบพรบ!DV26"")"),0)</f>
        <v>0</v>
      </c>
      <c r="M306" s="93">
        <f ca="1">IFERROR(__xludf.DUMMYFUNCTION("IMPORTRANGE(""https://docs.google.com/spreadsheets/d/1MeEWN-I1oV_STSDYn1IFDPWt_1FKiwhDph83XaGc0o0/edit?usp=sharing"",""งบพรบ!DY26"")"),0)</f>
        <v>0</v>
      </c>
      <c r="N306" s="93">
        <f ca="1">IFERROR(__xludf.DUMMYFUNCTION("IMPORTRANGE(""https://docs.google.com/spreadsheets/d/1MeEWN-I1oV_STSDYn1IFDPWt_1FKiwhDph83XaGc0o0/edit?usp=sharing"",""งบพรบ!EA26"")"),0)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IFERROR(__xludf.DUMMYFUNCTION("IMPORTRANGE(""https://docs.google.com/spreadsheets/d/1QqKyyYR6Q21VydFLVH3TRQUabQu_ym0Zz7PgGX0-kHA/edit?usp=sharing"",""แผน!ED26"")"),0)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IFERROR(__xludf.DUMMYFUNCTION("IMPORTRANGE(""https://docs.google.com/spreadsheets/d/1QqKyyYR6Q21VydFLVH3TRQUabQu_ym0Zz7PgGX0-kHA/edit?usp=sharing"",""แผน!ED26"")"),0)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IFERROR(__xludf.DUMMYFUNCTION("IMPORTRANGE(""https://docs.google.com/spreadsheets/d/1QqKyyYR6Q21VydFLVH3TRQUabQu_ym0Zz7PgGX0-kHA/edit?usp=sharing"",""แผน!ED26"")"),0)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IFERROR(__xludf.DUMMYFUNCTION("IMPORTRANGE(""https://docs.google.com/spreadsheets/d/1QqKyyYR6Q21VydFLVH3TRQUabQu_ym0Zz7PgGX0-kHA/edit?usp=sharing"",""แผน!EE26"")"),0)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4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IFERROR(__xludf.DUMMYFUNCTION("IMPORTRANGE(""https://docs.google.com/spreadsheets/d/1MeEWN-I1oV_STSDYn1IFDPWt_1FKiwhDph83XaGc0o0/edit?usp=sharing"",""งบพรบ!EC26"")"),0)</f>
        <v>0</v>
      </c>
      <c r="M320" s="93">
        <f ca="1">IFERROR(__xludf.DUMMYFUNCTION("IMPORTRANGE(""https://docs.google.com/spreadsheets/d/1MeEWN-I1oV_STSDYn1IFDPWt_1FKiwhDph83XaGc0o0/edit?usp=sharing"",""งบพรบ!EH26"")"),0)</f>
        <v>0</v>
      </c>
      <c r="N320" s="93">
        <f ca="1">IFERROR(__xludf.DUMMYFUNCTION("IMPORTRANGE(""https://docs.google.com/spreadsheets/d/1MeEWN-I1oV_STSDYn1IFDPWt_1FKiwhDph83XaGc0o0/edit?usp=sharing"",""งบพรบ!EJ26"")"),0)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IFERROR(__xludf.DUMMYFUNCTION("IMPORTRANGE(""https://docs.google.com/spreadsheets/d/1MeEWN-I1oV_STSDYn1IFDPWt_1FKiwhDph83XaGc0o0/edit?usp=sharing"",""งบพรบ!EF26"")"),0)</f>
        <v>0</v>
      </c>
      <c r="M323" s="93">
        <f ca="1">IFERROR(__xludf.DUMMYFUNCTION("IMPORTRANGE(""https://docs.google.com/spreadsheets/d/1MeEWN-I1oV_STSDYn1IFDPWt_1FKiwhDph83XaGc0o0/edit?usp=sharing"",""งบพรบ!EI26"")"),0)</f>
        <v>0</v>
      </c>
      <c r="N323" s="93">
        <f ca="1">IFERROR(__xludf.DUMMYFUNCTION("IMPORTRANGE(""https://docs.google.com/spreadsheets/d/1MeEWN-I1oV_STSDYn1IFDPWt_1FKiwhDph83XaGc0o0/edit?usp=sharing"",""งบพรบ!EK26"")"),0)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IFERROR(__xludf.DUMMYFUNCTION("IMPORTRANGE(""https://docs.google.com/spreadsheets/d/1QqKyyYR6Q21VydFLVH3TRQUabQu_ym0Zz7PgGX0-kHA/edit?usp=sharing"",""แผน!EF26"")"),0)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IFERROR(__xludf.DUMMYFUNCTION("IMPORTRANGE(""https://docs.google.com/spreadsheets/d/1QqKyyYR6Q21VydFLVH3TRQUabQu_ym0Zz7PgGX0-kHA/edit?usp=sharing"",""แผน!EG26"")"),2000)</f>
        <v>2000</v>
      </c>
      <c r="J327" s="413">
        <f ca="1">J338+J341+J342+J343</f>
        <v>893</v>
      </c>
      <c r="K327" s="414">
        <f ca="1">IF(I327&gt;0,J327*100/I327,0)</f>
        <v>44.65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4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172000</v>
      </c>
      <c r="M328" s="155">
        <f t="shared" ca="1" si="149"/>
        <v>129000</v>
      </c>
      <c r="N328" s="155">
        <f t="shared" ca="1" si="149"/>
        <v>44440</v>
      </c>
      <c r="O328" s="155">
        <f t="shared" ref="O328:O336" ca="1" si="150">IF(L328&gt;0,N328*100/L328,0)</f>
        <v>25.837209302325583</v>
      </c>
      <c r="P328" s="155">
        <f t="shared" ref="P328:P336" ca="1" si="151">IF(M328&gt;0,N328*100/M328,0)</f>
        <v>34.449612403100772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172000</v>
      </c>
      <c r="M330" s="93">
        <f t="shared" ca="1" si="152"/>
        <v>129000</v>
      </c>
      <c r="N330" s="93">
        <f t="shared" ca="1" si="152"/>
        <v>44440</v>
      </c>
      <c r="O330" s="93">
        <f t="shared" ca="1" si="150"/>
        <v>25.837209302325583</v>
      </c>
      <c r="P330" s="93">
        <f t="shared" ca="1" si="151"/>
        <v>34.449612403100772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3">L332+L333</f>
        <v>172000</v>
      </c>
      <c r="M331" s="466">
        <f t="shared" ca="1" si="153"/>
        <v>129000</v>
      </c>
      <c r="N331" s="466">
        <f t="shared" ca="1" si="153"/>
        <v>44440</v>
      </c>
      <c r="O331" s="466">
        <f t="shared" ca="1" si="150"/>
        <v>25.837209302325583</v>
      </c>
      <c r="P331" s="466">
        <f t="shared" ca="1" si="151"/>
        <v>34.449612403100772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IFERROR(__xludf.DUMMYFUNCTION("IMPORTRANGE(""https://docs.google.com/spreadsheets/d/1MeEWN-I1oV_STSDYn1IFDPWt_1FKiwhDph83XaGc0o0/edit?usp=sharing"",""งบพรบ!EM26"")"),172000)</f>
        <v>172000</v>
      </c>
      <c r="M333" s="93">
        <f ca="1">IFERROR(__xludf.DUMMYFUNCTION("IMPORTRANGE(""https://docs.google.com/spreadsheets/d/1MeEWN-I1oV_STSDYn1IFDPWt_1FKiwhDph83XaGc0o0/edit?usp=sharing"",""งบพรบ!ER26"")"),129000)</f>
        <v>129000</v>
      </c>
      <c r="N333" s="93">
        <f ca="1">IFERROR(__xludf.DUMMYFUNCTION("IMPORTRANGE(""https://docs.google.com/spreadsheets/d/1MeEWN-I1oV_STSDYn1IFDPWt_1FKiwhDph83XaGc0o0/edit?usp=sharing"",""งบพรบ!ET26"")"),44440)</f>
        <v>44440</v>
      </c>
      <c r="O333" s="93">
        <f t="shared" ca="1" si="150"/>
        <v>25.837209302325583</v>
      </c>
      <c r="P333" s="93">
        <f t="shared" ca="1" si="151"/>
        <v>34.449612403100772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IFERROR(__xludf.DUMMYFUNCTION("IMPORTRANGE(""https://docs.google.com/spreadsheets/d/1MeEWN-I1oV_STSDYn1IFDPWt_1FKiwhDph83XaGc0o0/edit?usp=sharing"",""งบพรบ!EP26"")"),0)</f>
        <v>0</v>
      </c>
      <c r="M336" s="93">
        <f ca="1">IFERROR(__xludf.DUMMYFUNCTION("IMPORTRANGE(""https://docs.google.com/spreadsheets/d/1MeEWN-I1oV_STSDYn1IFDPWt_1FKiwhDph83XaGc0o0/edit?usp=sharing"",""งบพรบ!ES26"")"),0)</f>
        <v>0</v>
      </c>
      <c r="N336" s="93">
        <f ca="1">IFERROR(__xludf.DUMMYFUNCTION("IMPORTRANGE(""https://docs.google.com/spreadsheets/d/1MeEWN-I1oV_STSDYn1IFDPWt_1FKiwhDph83XaGc0o0/edit?usp=sharing"",""งบพรบ!EU26"")"),0)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IFERROR(__xludf.DUMMYFUNCTION("IMPORTRANGE(""https://docs.google.com/spreadsheets/d/1QqKyyYR6Q21VydFLVH3TRQUabQu_ym0Zz7PgGX0-kHA/edit?usp=sharing"",""แผน!EG26"")"),2000)</f>
        <v>2000</v>
      </c>
      <c r="J338" s="270">
        <f ca="1">IFERROR(__xludf.DUMMYFUNCTION("IMPORTRANGE(""https://docs.google.com/spreadsheets/d/1kVcqe37tkHyjCSG3S0O1AXqVkqjo8mSIZil3BcpIysc/edit?usp=sharing"",""ศูนย์!D26"")"),893)</f>
        <v>893</v>
      </c>
      <c r="K338" s="466">
        <f ca="1">IF(I338&gt;0,J338*100/I338,0)</f>
        <v>44.65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IFERROR(__xludf.DUMMYFUNCTION("IMPORTRANGE(""https://docs.google.com/spreadsheets/d/1QqKyyYR6Q21VydFLVH3TRQUabQu_ym0Zz7PgGX0-kHA/edit?usp=sharing"",""แผน!EH26"")"),7)</f>
        <v>7</v>
      </c>
      <c r="J340" s="270">
        <f ca="1">IFERROR(__xludf.DUMMYFUNCTION("IMPORTRANGE(""https://docs.google.com/spreadsheets/d/1kVcqe37tkHyjCSG3S0O1AXqVkqjo8mSIZil3BcpIysc/edit?usp=sharing"",""ศูนย์!E26"")"),0)</f>
        <v>0</v>
      </c>
      <c r="K340" s="466">
        <f ca="1">IF(I340&gt;0,J340*100/I340,0)</f>
        <v>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IFERROR(__xludf.DUMMYFUNCTION("IMPORTRANGE(""https://docs.google.com/spreadsheets/d/1kVcqe37tkHyjCSG3S0O1AXqVkqjo8mSIZil3BcpIysc/edit?usp=sharing"",""ศูนย์!F26"")"),0)</f>
        <v>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IFERROR(__xludf.DUMMYFUNCTION("IMPORTRANGE(""https://docs.google.com/spreadsheets/d/1kVcqe37tkHyjCSG3S0O1AXqVkqjo8mSIZil3BcpIysc/edit?usp=sharing"",""ศูนย์!G26"")"),0)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IFERROR(__xludf.DUMMYFUNCTION("IMPORTRANGE(""https://docs.google.com/spreadsheets/d/1kVcqe37tkHyjCSG3S0O1AXqVkqjo8mSIZil3BcpIysc/edit?usp=sharing"",""ศูนย์!H26"")"),0)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4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604950</v>
      </c>
      <c r="M345" s="155">
        <f t="shared" ca="1" si="155"/>
        <v>442870</v>
      </c>
      <c r="N345" s="155">
        <f t="shared" ca="1" si="155"/>
        <v>244140.02</v>
      </c>
      <c r="O345" s="155">
        <f t="shared" ref="O345:O353" ca="1" si="156">IF(L345&gt;0,N345*100/L345,0)</f>
        <v>40.357057608066782</v>
      </c>
      <c r="P345" s="155">
        <f t="shared" ref="P345:P353" ca="1" si="157">IF(M345&gt;0,N345*100/M345,0)</f>
        <v>55.126791157676067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604950</v>
      </c>
      <c r="M347" s="93">
        <f t="shared" ca="1" si="158"/>
        <v>442870</v>
      </c>
      <c r="N347" s="93">
        <f t="shared" ca="1" si="158"/>
        <v>244140.02</v>
      </c>
      <c r="O347" s="93">
        <f t="shared" ca="1" si="156"/>
        <v>40.357057608066782</v>
      </c>
      <c r="P347" s="93">
        <f t="shared" ca="1" si="157"/>
        <v>55.126791157676067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59">L349+L350</f>
        <v>589950</v>
      </c>
      <c r="M348" s="466">
        <f t="shared" ca="1" si="159"/>
        <v>427870</v>
      </c>
      <c r="N348" s="466">
        <f t="shared" ca="1" si="159"/>
        <v>229140.02</v>
      </c>
      <c r="O348" s="466">
        <f t="shared" ca="1" si="156"/>
        <v>38.840583100262734</v>
      </c>
      <c r="P348" s="466">
        <f t="shared" ca="1" si="157"/>
        <v>53.55365414728773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IFERROR(__xludf.DUMMYFUNCTION("IMPORTRANGE(""https://docs.google.com/spreadsheets/d/1MeEWN-I1oV_STSDYn1IFDPWt_1FKiwhDph83XaGc0o0/edit?usp=sharing"",""งบพรบ!EW26"")"),589950)</f>
        <v>589950</v>
      </c>
      <c r="M350" s="93">
        <f ca="1">IFERROR(__xludf.DUMMYFUNCTION("IMPORTRANGE(""https://docs.google.com/spreadsheets/d/1MeEWN-I1oV_STSDYn1IFDPWt_1FKiwhDph83XaGc0o0/edit?usp=sharing"",""งบพรบ!FB26"")"),427870)</f>
        <v>427870</v>
      </c>
      <c r="N350" s="93">
        <f ca="1">IFERROR(__xludf.DUMMYFUNCTION("IMPORTRANGE(""https://docs.google.com/spreadsheets/d/1MeEWN-I1oV_STSDYn1IFDPWt_1FKiwhDph83XaGc0o0/edit?usp=sharing"",""งบพรบ!FD26"")"),229140.02)</f>
        <v>229140.02</v>
      </c>
      <c r="O350" s="93">
        <f t="shared" ca="1" si="156"/>
        <v>38.840583100262734</v>
      </c>
      <c r="P350" s="93">
        <f t="shared" ca="1" si="157"/>
        <v>53.55365414728773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15000</v>
      </c>
      <c r="M351" s="466">
        <f t="shared" ca="1" si="160"/>
        <v>15000</v>
      </c>
      <c r="N351" s="466">
        <f t="shared" ca="1" si="160"/>
        <v>15000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IFERROR(__xludf.DUMMYFUNCTION("IMPORTRANGE(""https://docs.google.com/spreadsheets/d/1MeEWN-I1oV_STSDYn1IFDPWt_1FKiwhDph83XaGc0o0/edit?usp=sharing"",""งบพรบ!EZ26"")"),15000)</f>
        <v>15000</v>
      </c>
      <c r="M353" s="93">
        <f ca="1">IFERROR(__xludf.DUMMYFUNCTION("IMPORTRANGE(""https://docs.google.com/spreadsheets/d/1MeEWN-I1oV_STSDYn1IFDPWt_1FKiwhDph83XaGc0o0/edit?usp=sharing"",""งบพรบ!FC26"")"),15000)</f>
        <v>15000</v>
      </c>
      <c r="N353" s="93">
        <f ca="1">IFERROR(__xludf.DUMMYFUNCTION("IMPORTRANGE(""https://docs.google.com/spreadsheets/d/1MeEWN-I1oV_STSDYn1IFDPWt_1FKiwhDph83XaGc0o0/edit?usp=sharing"",""งบพรบ!FE26"")"),15000)</f>
        <v>15000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IFERROR(__xludf.DUMMYFUNCTION("IMPORTRANGE(""https://docs.google.com/spreadsheets/d/1QqKyyYR6Q21VydFLVH3TRQUabQu_ym0Zz7PgGX0-kHA/edit?usp=sharing"",""แผน!EP26"")"),70)</f>
        <v>70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IFERROR(__xludf.DUMMYFUNCTION("IMPORTRANGE(""https://docs.google.com/spreadsheets/d/1XWAQStnk-4SwqDmLtmXYiTMKHgktTP8We1SCoS47DrQ/edit?usp=sharing"",""จัดที่ดิน!W26"")"),134)</f>
        <v>134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IFERROR(__xludf.DUMMYFUNCTION("IMPORTRANGE(""https://docs.google.com/spreadsheets/d/1QqKyyYR6Q21VydFLVH3TRQUabQu_ym0Zz7PgGX0-kHA/edit?usp=sharing"",""แผน!EO26"")"),620)</f>
        <v>620</v>
      </c>
      <c r="J359" s="270">
        <f ca="1">IFERROR(__xludf.DUMMYFUNCTION("IMPORTRANGE(""https://docs.google.com/spreadsheets/d/1XWAQStnk-4SwqDmLtmXYiTMKHgktTP8We1SCoS47DrQ/edit?usp=sharing"",""จัดที่ดิน!X26"")"),505.3)</f>
        <v>505.3</v>
      </c>
      <c r="K359" s="466">
        <f t="shared" ca="1" si="161"/>
        <v>81.5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IFERROR(__xludf.DUMMYFUNCTION("IMPORTRANGE(""https://docs.google.com/spreadsheets/d/1QqKyyYR6Q21VydFLVH3TRQUabQu_ym0Zz7PgGX0-kHA/edit?usp=sharing"",""แผน!EP26"")"),70)</f>
        <v>70</v>
      </c>
      <c r="J360" s="270">
        <f ca="1">IFERROR(__xludf.DUMMYFUNCTION("IMPORTRANGE(""https://docs.google.com/spreadsheets/d/1XWAQStnk-4SwqDmLtmXYiTMKHgktTP8We1SCoS47DrQ/edit?usp=sharing"",""จัดที่ดิน!Y26"")"),64)</f>
        <v>64</v>
      </c>
      <c r="K360" s="466">
        <f t="shared" ca="1" si="161"/>
        <v>91.428571428571431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IFERROR(__xludf.DUMMYFUNCTION("IMPORTRANGE(""https://docs.google.com/spreadsheets/d/1XWAQStnk-4SwqDmLtmXYiTMKHgktTP8We1SCoS47DrQ/edit?usp=sharing"",""จัดที่ดิน!Z26"")"),323.33)</f>
        <v>323.33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IFERROR(__xludf.DUMMYFUNCTION("IMPORTRANGE(""https://docs.google.com/spreadsheets/d/1QqKyyYR6Q21VydFLVH3TRQUabQu_ym0Zz7PgGX0-kHA/edit?usp=sharing"",""แผน!EP26"")"),70)</f>
        <v>70</v>
      </c>
      <c r="J362" s="270">
        <f ca="1">IFERROR(__xludf.DUMMYFUNCTION("IMPORTRANGE(""https://docs.google.com/spreadsheets/d/1XWAQStnk-4SwqDmLtmXYiTMKHgktTP8We1SCoS47DrQ/edit?usp=sharing"",""จัดที่ดิน!AA26"")"),0)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IFERROR(__xludf.DUMMYFUNCTION("IMPORTRANGE(""https://docs.google.com/spreadsheets/d/1XWAQStnk-4SwqDmLtmXYiTMKHgktTP8We1SCoS47DrQ/edit?usp=sharing"",""จัดที่ดิน!AB26"")"),0)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150</v>
      </c>
      <c r="J364" s="447">
        <f t="shared" ca="1" si="162"/>
        <v>52</v>
      </c>
      <c r="K364" s="448">
        <f t="shared" ca="1" si="161"/>
        <v>34.666666666666664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IFERROR(__xludf.DUMMYFUNCTION("IMPORTRANGE(""https://docs.google.com/spreadsheets/d/1QqKyyYR6Q21VydFLVH3TRQUabQu_ym0Zz7PgGX0-kHA/edit?usp=sharing"",""แผน!EJ26"")"),40)</f>
        <v>40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IFERROR(__xludf.DUMMYFUNCTION("IMPORTRANGE(""https://docs.google.com/spreadsheets/d/1XWAQStnk-4SwqDmLtmXYiTMKHgktTP8We1SCoS47DrQ/edit?usp=sharing"",""จัดที่ดิน!E26"")"),125)</f>
        <v>125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IFERROR(__xludf.DUMMYFUNCTION("IMPORTRANGE(""https://docs.google.com/spreadsheets/d/1QqKyyYR6Q21VydFLVH3TRQUabQu_ym0Zz7PgGX0-kHA/edit?usp=sharing"",""แผน!EI26"")"),400)</f>
        <v>400</v>
      </c>
      <c r="J369" s="270">
        <f ca="1">IFERROR(__xludf.DUMMYFUNCTION("IMPORTRANGE(""https://docs.google.com/spreadsheets/d/1XWAQStnk-4SwqDmLtmXYiTMKHgktTP8We1SCoS47DrQ/edit?usp=sharing"",""จัดที่ดิน!F26"")"),456.42)</f>
        <v>456.42</v>
      </c>
      <c r="K369" s="466">
        <f t="shared" ca="1" si="163"/>
        <v>114.105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IFERROR(__xludf.DUMMYFUNCTION("IMPORTRANGE(""https://docs.google.com/spreadsheets/d/1QqKyyYR6Q21VydFLVH3TRQUabQu_ym0Zz7PgGX0-kHA/edit?usp=sharing"",""แผน!EJ26"")"),40)</f>
        <v>40</v>
      </c>
      <c r="J370" s="270">
        <f ca="1">IFERROR(__xludf.DUMMYFUNCTION("IMPORTRANGE(""https://docs.google.com/spreadsheets/d/1XWAQStnk-4SwqDmLtmXYiTMKHgktTP8We1SCoS47DrQ/edit?usp=sharing"",""จัดที่ดิน!G26"")"),55)</f>
        <v>55</v>
      </c>
      <c r="K370" s="466">
        <f t="shared" ca="1" si="163"/>
        <v>137.5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IFERROR(__xludf.DUMMYFUNCTION("IMPORTRANGE(""https://docs.google.com/spreadsheets/d/1XWAQStnk-4SwqDmLtmXYiTMKHgktTP8We1SCoS47DrQ/edit?usp=sharing"",""จัดที่ดิน!H26"")"),274.45)</f>
        <v>274.45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IFERROR(__xludf.DUMMYFUNCTION("IMPORTRANGE(""https://docs.google.com/spreadsheets/d/1QqKyyYR6Q21VydFLVH3TRQUabQu_ym0Zz7PgGX0-kHA/edit?usp=sharing"",""แผน!EJ26"")"),40)</f>
        <v>40</v>
      </c>
      <c r="J372" s="270">
        <f ca="1">IFERROR(__xludf.DUMMYFUNCTION("IMPORTRANGE(""https://docs.google.com/spreadsheets/d/1XWAQStnk-4SwqDmLtmXYiTMKHgktTP8We1SCoS47DrQ/edit?usp=sharing"",""จัดที่ดิน!I26"")"),0)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IFERROR(__xludf.DUMMYFUNCTION("IMPORTRANGE(""https://docs.google.com/spreadsheets/d/1XWAQStnk-4SwqDmLtmXYiTMKHgktTP8We1SCoS47DrQ/edit?usp=sharing"",""จัดที่ดิน!J26"")"),0)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IFERROR(__xludf.DUMMYFUNCTION("IMPORTRANGE(""https://docs.google.com/spreadsheets/d/1QqKyyYR6Q21VydFLVH3TRQUabQu_ym0Zz7PgGX0-kHA/edit?usp=sharing"",""แผน!EU26"")"),110)</f>
        <v>110</v>
      </c>
      <c r="J374" s="459">
        <f ca="1">J381</f>
        <v>52</v>
      </c>
      <c r="K374" s="460">
        <f t="shared" ca="1" si="163"/>
        <v>47.272727272727273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IFERROR(__xludf.DUMMYFUNCTION("IMPORTRANGE(""https://docs.google.com/spreadsheets/d/1XWAQStnk-4SwqDmLtmXYiTMKHgktTP8We1SCoS47DrQ/edit?usp=sharing"",""จัดที่ดิน!AH26"")"),9)</f>
        <v>9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IFERROR(__xludf.DUMMYFUNCTION("IMPORTRANGE(""https://docs.google.com/spreadsheets/d/1QqKyyYR6Q21VydFLVH3TRQUabQu_ym0Zz7PgGX0-kHA/edit?usp=sharing"",""แผน!ET26"")"),220)</f>
        <v>220</v>
      </c>
      <c r="J378" s="270">
        <f ca="1">IFERROR(__xludf.DUMMYFUNCTION("IMPORTRANGE(""https://docs.google.com/spreadsheets/d/1XWAQStnk-4SwqDmLtmXYiTMKHgktTP8We1SCoS47DrQ/edit?usp=sharing"",""จัดที่ดิน!AI26"")"),48.88)</f>
        <v>48.88</v>
      </c>
      <c r="K378" s="466">
        <f t="shared" ca="1" si="164"/>
        <v>22.218181818181819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IFERROR(__xludf.DUMMYFUNCTION("IMPORTRANGE(""https://docs.google.com/spreadsheets/d/1QqKyyYR6Q21VydFLVH3TRQUabQu_ym0Zz7PgGX0-kHA/edit?usp=sharing"",""แผน!EU26"")"),110)</f>
        <v>110</v>
      </c>
      <c r="J379" s="270">
        <f ca="1">IFERROR(__xludf.DUMMYFUNCTION("IMPORTRANGE(""https://docs.google.com/spreadsheets/d/1XWAQStnk-4SwqDmLtmXYiTMKHgktTP8We1SCoS47DrQ/edit?usp=sharing"",""จัดที่ดิน!AJ26"")"),61)</f>
        <v>61</v>
      </c>
      <c r="K379" s="466">
        <f t="shared" ca="1" si="164"/>
        <v>55.454545454545453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IFERROR(__xludf.DUMMYFUNCTION("IMPORTRANGE(""https://docs.google.com/spreadsheets/d/1XWAQStnk-4SwqDmLtmXYiTMKHgktTP8We1SCoS47DrQ/edit?usp=sharing"",""จัดที่ดิน!AK26"")"),383.01)</f>
        <v>383.01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IFERROR(__xludf.DUMMYFUNCTION("IMPORTRANGE(""https://docs.google.com/spreadsheets/d/1QqKyyYR6Q21VydFLVH3TRQUabQu_ym0Zz7PgGX0-kHA/edit?usp=sharing"",""แผน!EU26"")"),110)</f>
        <v>110</v>
      </c>
      <c r="J381" s="270">
        <f ca="1">IFERROR(__xludf.DUMMYFUNCTION("IMPORTRANGE(""https://docs.google.com/spreadsheets/d/1XWAQStnk-4SwqDmLtmXYiTMKHgktTP8We1SCoS47DrQ/edit?usp=sharing"",""จัดที่ดิน!AL26"")"),52)</f>
        <v>52</v>
      </c>
      <c r="K381" s="466">
        <f t="shared" ca="1" si="164"/>
        <v>47.272727272727273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IFERROR(__xludf.DUMMYFUNCTION("IMPORTRANGE(""https://docs.google.com/spreadsheets/d/1XWAQStnk-4SwqDmLtmXYiTMKHgktTP8We1SCoS47DrQ/edit?usp=sharing"",""จัดที่ดิน!AM26"")"),334.13)</f>
        <v>334.13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IFERROR(__xludf.DUMMYFUNCTION("IMPORTRANGE(""https://docs.google.com/spreadsheets/d/1QqKyyYR6Q21VydFLVH3TRQUabQu_ym0Zz7PgGX0-kHA/edit?usp=sharing"",""แผน!EW26"")"),0)</f>
        <v>0</v>
      </c>
      <c r="J385" s="469">
        <f ca="1">IFERROR(__xludf.DUMMYFUNCTION("IMPORTRANGE(""https://docs.google.com/spreadsheets/d/1XWAQStnk-4SwqDmLtmXYiTMKHgktTP8We1SCoS47DrQ/edit?usp=sharing"",""จัดที่ดิน!AP26"")"),0)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4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IFERROR(__xludf.DUMMYFUNCTION("IMPORTRANGE(""https://docs.google.com/spreadsheets/d/1MeEWN-I1oV_STSDYn1IFDPWt_1FKiwhDph83XaGc0o0/edit?usp=sharing"",""งบพรบ!FG26"")"),0)</f>
        <v>0</v>
      </c>
      <c r="M394" s="93">
        <f ca="1">IFERROR(__xludf.DUMMYFUNCTION("IMPORTRANGE(""https://docs.google.com/spreadsheets/d/1MeEWN-I1oV_STSDYn1IFDPWt_1FKiwhDph83XaGc0o0/edit?usp=sharing"",""งบพรบ!FL26"")"),0)</f>
        <v>0</v>
      </c>
      <c r="N394" s="93">
        <f ca="1">IFERROR(__xludf.DUMMYFUNCTION("IMPORTRANGE(""https://docs.google.com/spreadsheets/d/1MeEWN-I1oV_STSDYn1IFDPWt_1FKiwhDph83XaGc0o0/edit?usp=sharing"",""งบพรบ!FN26"")"),0)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IFERROR(__xludf.DUMMYFUNCTION("IMPORTRANGE(""https://docs.google.com/spreadsheets/d/1MeEWN-I1oV_STSDYn1IFDPWt_1FKiwhDph83XaGc0o0/edit?usp=sharing"",""งบพรบ!FJ26"")"),0)</f>
        <v>0</v>
      </c>
      <c r="M397" s="93">
        <f ca="1">IFERROR(__xludf.DUMMYFUNCTION("IMPORTRANGE(""https://docs.google.com/spreadsheets/d/1MeEWN-I1oV_STSDYn1IFDPWt_1FKiwhDph83XaGc0o0/edit?usp=sharing"",""งบพรบ!FM26"")"),0)</f>
        <v>0</v>
      </c>
      <c r="N397" s="93">
        <f ca="1">IFERROR(__xludf.DUMMYFUNCTION("IMPORTRANGE(""https://docs.google.com/spreadsheets/d/1MeEWN-I1oV_STSDYn1IFDPWt_1FKiwhDph83XaGc0o0/edit?usp=sharing"",""งบพรบ!FO26"")"),0)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4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IFERROR(__xludf.DUMMYFUNCTION("IMPORTRANGE(""https://docs.google.com/spreadsheets/d/1MeEWN-I1oV_STSDYn1IFDPWt_1FKiwhDph83XaGc0o0/edit?usp=sharing"",""งบพรบ!FQ26"")"),0)</f>
        <v>0</v>
      </c>
      <c r="M407" s="93">
        <f ca="1">IFERROR(__xludf.DUMMYFUNCTION("IMPORTRANGE(""https://docs.google.com/spreadsheets/d/1MeEWN-I1oV_STSDYn1IFDPWt_1FKiwhDph83XaGc0o0/edit?usp=sharing"",""งบพรบ!FV26"")"),0)</f>
        <v>0</v>
      </c>
      <c r="N407" s="93">
        <f ca="1">IFERROR(__xludf.DUMMYFUNCTION("IMPORTRANGE(""https://docs.google.com/spreadsheets/d/1MeEWN-I1oV_STSDYn1IFDPWt_1FKiwhDph83XaGc0o0/edit?usp=sharing"",""งบพรบ!FX26"")"),0)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IFERROR(__xludf.DUMMYFUNCTION("IMPORTRANGE(""https://docs.google.com/spreadsheets/d/1MeEWN-I1oV_STSDYn1IFDPWt_1FKiwhDph83XaGc0o0/edit?usp=sharing"",""งบพรบ!FT26"")"),0)</f>
        <v>0</v>
      </c>
      <c r="M410" s="93">
        <f ca="1">IFERROR(__xludf.DUMMYFUNCTION("IMPORTRANGE(""https://docs.google.com/spreadsheets/d/1MeEWN-I1oV_STSDYn1IFDPWt_1FKiwhDph83XaGc0o0/edit?usp=sharing"",""งบพรบ!FW26"")"),0)</f>
        <v>0</v>
      </c>
      <c r="N410" s="93">
        <f ca="1">IFERROR(__xludf.DUMMYFUNCTION("IMPORTRANGE(""https://docs.google.com/spreadsheets/d/1MeEWN-I1oV_STSDYn1IFDPWt_1FKiwhDph83XaGc0o0/edit?usp=sharing"",""งบพรบ!FY26"")"),0)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2397924</v>
      </c>
      <c r="M414" s="517">
        <f t="shared" si="181"/>
        <v>0</v>
      </c>
      <c r="N414" s="517">
        <f t="shared" si="181"/>
        <v>448426.63</v>
      </c>
      <c r="O414" s="517">
        <f ca="1">IF(L414&gt;0,N414*100/L414,0)</f>
        <v>18.7006189520602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60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212900</v>
      </c>
      <c r="M419" s="155">
        <f t="shared" si="184"/>
        <v>0</v>
      </c>
      <c r="N419" s="155">
        <f t="shared" si="184"/>
        <v>40820</v>
      </c>
      <c r="O419" s="155">
        <f t="shared" ref="O419:O424" ca="1" si="185">IF(L419&gt;0,N419*100/L419,0)</f>
        <v>19.173320807891027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212900</v>
      </c>
      <c r="M421" s="93">
        <f t="shared" si="187"/>
        <v>0</v>
      </c>
      <c r="N421" s="93">
        <f t="shared" si="187"/>
        <v>40820</v>
      </c>
      <c r="O421" s="93">
        <f t="shared" ca="1" si="185"/>
        <v>19.173320807891027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8">L423+L424</f>
        <v>212900</v>
      </c>
      <c r="M422" s="466">
        <f t="shared" si="188"/>
        <v>0</v>
      </c>
      <c r="N422" s="466">
        <f t="shared" si="188"/>
        <v>40820</v>
      </c>
      <c r="O422" s="466">
        <f t="shared" ca="1" si="185"/>
        <v>19.173320807891027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IFERROR(__xludf.DUMMYFUNCTION("IMPORTRANGE(""https://docs.google.com/spreadsheets/d/1QqKyyYR6Q21VydFLVH3TRQUabQu_ym0Zz7PgGX0-kHA/edit?usp=sharing"",""แผน!EY26"")"),212900)</f>
        <v>212900</v>
      </c>
      <c r="M424" s="93">
        <v>0</v>
      </c>
      <c r="N424" s="93">
        <f>N425+N426+N427+N428</f>
        <v>40820</v>
      </c>
      <c r="O424" s="93">
        <f t="shared" ca="1" si="185"/>
        <v>19.173320807891027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v>13920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v>26900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60</v>
      </c>
      <c r="J433" s="648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t="shared" ref="I434:J434" ca="1" si="193">I438+I440</f>
        <v>2</v>
      </c>
      <c r="J434" s="648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IFERROR(__xludf.DUMMYFUNCTION("IMPORTRANGE(""https://docs.google.com/spreadsheets/d/1QqKyyYR6Q21VydFLVH3TRQUabQu_ym0Zz7PgGX0-kHA/edit?usp=sharing"",""แผน!FC26"")"),60)</f>
        <v>60</v>
      </c>
      <c r="J435" s="549">
        <v>60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IFERROR(__xludf.DUMMYFUNCTION("IMPORTRANGE(""https://docs.google.com/spreadsheets/d/1QqKyyYR6Q21VydFLVH3TRQUabQu_ym0Zz7PgGX0-kHA/edit?usp=sharing"",""แผน!FD26"")"),40)</f>
        <v>40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IFERROR(__xludf.DUMMYFUNCTION("IMPORTRANGE(""https://docs.google.com/spreadsheets/d/1QqKyyYR6Q21VydFLVH3TRQUabQu_ym0Zz7PgGX0-kHA/edit?usp=sharing"",""แผน!FE26"")"),1)</f>
        <v>1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IFERROR(__xludf.DUMMYFUNCTION("IMPORTRANGE(""https://docs.google.com/spreadsheets/d/1QqKyyYR6Q21VydFLVH3TRQUabQu_ym0Zz7PgGX0-kHA/edit?usp=sharing"",""แผน!FF26"")"),20)</f>
        <v>20</v>
      </c>
      <c r="J439" s="549">
        <v>0</v>
      </c>
      <c r="K439" s="466">
        <f t="shared" ca="1" si="194"/>
        <v>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IFERROR(__xludf.DUMMYFUNCTION("IMPORTRANGE(""https://docs.google.com/spreadsheets/d/1QqKyyYR6Q21VydFLVH3TRQUabQu_ym0Zz7PgGX0-kHA/edit?usp=sharing"",""แผน!FG26"")"),1)</f>
        <v>1</v>
      </c>
      <c r="J440" s="215">
        <v>0</v>
      </c>
      <c r="K440" s="466">
        <f t="shared" ca="1" si="194"/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IFERROR(__xludf.DUMMYFUNCTION("IMPORTRANGE(""https://docs.google.com/spreadsheets/d/1QqKyyYR6Q21VydFLVH3TRQUabQu_ym0Zz7PgGX0-kHA/edit?usp=sharing"",""แผน!FH26"")"),0)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20</v>
      </c>
      <c r="J442" s="555">
        <f t="shared" si="195"/>
        <v>20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70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128460</v>
      </c>
      <c r="M444" s="195">
        <f t="shared" si="197"/>
        <v>0</v>
      </c>
      <c r="N444" s="195">
        <f t="shared" si="197"/>
        <v>8060</v>
      </c>
      <c r="O444" s="195">
        <f t="shared" ref="O444:O449" ca="1" si="198">IF(L444&gt;0,N444*100/L444,0)</f>
        <v>6.2743266386423793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0"/>
        <v>128460</v>
      </c>
      <c r="M446" s="93">
        <f t="shared" si="200"/>
        <v>0</v>
      </c>
      <c r="N446" s="93">
        <f t="shared" si="200"/>
        <v>8060</v>
      </c>
      <c r="O446" s="93">
        <f t="shared" ca="1" si="198"/>
        <v>6.2743266386423793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1">L448+L449</f>
        <v>128460</v>
      </c>
      <c r="M447" s="466">
        <f t="shared" si="201"/>
        <v>0</v>
      </c>
      <c r="N447" s="466">
        <f t="shared" si="201"/>
        <v>8060</v>
      </c>
      <c r="O447" s="466">
        <f t="shared" ca="1" si="198"/>
        <v>6.2743266386423793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IFERROR(__xludf.DUMMYFUNCTION("IMPORTRANGE(""https://docs.google.com/spreadsheets/d/1QqKyyYR6Q21VydFLVH3TRQUabQu_ym0Zz7PgGX0-kHA/edit?usp=sharing"",""แผน!FJ26"")"),128460)</f>
        <v>128460</v>
      </c>
      <c r="M449" s="93">
        <v>0</v>
      </c>
      <c r="N449" s="93">
        <f>N450+N451+N452+N453</f>
        <v>8060</v>
      </c>
      <c r="O449" s="93">
        <f t="shared" ca="1" si="198"/>
        <v>6.2743266386423793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v>6820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v>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v>1240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IFERROR(__xludf.DUMMYFUNCTION("IMPORTRANGE(""https://docs.google.com/spreadsheets/d/1QqKyyYR6Q21VydFLVH3TRQUabQu_ym0Zz7PgGX0-kHA/edit?usp=sharing"",""แผน!FN26"")"),20)</f>
        <v>20</v>
      </c>
      <c r="J460" s="215">
        <v>20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IFERROR(__xludf.DUMMYFUNCTION("IMPORTRANGE(""https://docs.google.com/spreadsheets/d/1QqKyyYR6Q21VydFLVH3TRQUabQu_ym0Zz7PgGX0-kHA/edit?usp=sharing"",""แผน!FO26"")"),70)</f>
        <v>70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IFERROR(__xludf.DUMMYFUNCTION("IMPORTRANGE(""https://docs.google.com/spreadsheets/d/1QqKyyYR6Q21VydFLVH3TRQUabQu_ym0Zz7PgGX0-kHA/edit?usp=sharing"",""แผน!FO26"")"),70)</f>
        <v>70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IFERROR(__xludf.DUMMYFUNCTION("IMPORTRANGE(""https://docs.google.com/spreadsheets/d/1QqKyyYR6Q21VydFLVH3TRQUabQu_ym0Zz7PgGX0-kHA/edit?usp=sharing"",""แผน!FN26"")"),20)</f>
        <v>20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IFERROR(__xludf.DUMMYFUNCTION("IMPORTRANGE(""https://docs.google.com/spreadsheets/d/1QqKyyYR6Q21VydFLVH3TRQUabQu_ym0Zz7PgGX0-kHA/edit?usp=sharing"",""แผน!FX26"")"),131)</f>
        <v>131</v>
      </c>
      <c r="J465" s="555">
        <f>J485+J489+J492</f>
        <v>131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IFERROR(__xludf.DUMMYFUNCTION("IMPORTRANGE(""https://docs.google.com/spreadsheets/d/1QqKyyYR6Q21VydFLVH3TRQUabQu_ym0Zz7PgGX0-kHA/edit?usp=sharing"",""แผน!FW26"")"),1300)</f>
        <v>1300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1171028</v>
      </c>
      <c r="M467" s="195">
        <f t="shared" si="206"/>
        <v>0</v>
      </c>
      <c r="N467" s="195">
        <f t="shared" si="206"/>
        <v>196983.66999999998</v>
      </c>
      <c r="O467" s="195">
        <f t="shared" ref="O467:O472" ca="1" si="207">IF(L467&gt;0,N467*100/L467,0)</f>
        <v>16.821431255273144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09"/>
        <v>1171028</v>
      </c>
      <c r="M469" s="93">
        <f t="shared" si="209"/>
        <v>0</v>
      </c>
      <c r="N469" s="93">
        <f t="shared" si="209"/>
        <v>196983.66999999998</v>
      </c>
      <c r="O469" s="93">
        <f t="shared" ca="1" si="207"/>
        <v>16.821431255273144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0">L471+L472</f>
        <v>1171028</v>
      </c>
      <c r="M470" s="466">
        <f t="shared" si="210"/>
        <v>0</v>
      </c>
      <c r="N470" s="466">
        <f t="shared" si="210"/>
        <v>196983.66999999998</v>
      </c>
      <c r="O470" s="466">
        <f t="shared" ca="1" si="207"/>
        <v>16.821431255273144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IFERROR(__xludf.DUMMYFUNCTION("IMPORTRANGE(""https://docs.google.com/spreadsheets/d/1QqKyyYR6Q21VydFLVH3TRQUabQu_ym0Zz7PgGX0-kHA/edit?usp=sharing"",""แผน!FS26"")"),1171028)</f>
        <v>1171028</v>
      </c>
      <c r="M472" s="93">
        <v>0</v>
      </c>
      <c r="N472" s="93">
        <f>N473+N474+N475+N476</f>
        <v>196983.66999999998</v>
      </c>
      <c r="O472" s="93">
        <f t="shared" ca="1" si="207"/>
        <v>16.821431255273144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>
        <v>117068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>
        <v>4000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v>38566.67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v>37349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IFERROR(__xludf.DUMMYFUNCTION("IMPORTRANGE(""https://docs.google.com/spreadsheets/d/1QqKyyYR6Q21VydFLVH3TRQUabQu_ym0Zz7PgGX0-kHA/edit?usp=sharing"",""แผน!FY26"")"),1170)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IFERROR(__xludf.DUMMYFUNCTION("IMPORTRANGE(""https://docs.google.com/spreadsheets/d/1QqKyyYR6Q21VydFLVH3TRQUabQu_ym0Zz7PgGX0-kHA/edit?usp=sharing"",""แผน!FZ26"")"),117)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IFERROR(__xludf.DUMMYFUNCTION("IMPORTRANGE(""https://docs.google.com/spreadsheets/d/1QqKyyYR6Q21VydFLVH3TRQUabQu_ym0Zz7PgGX0-kHA/edit?usp=sharing"",""แผน!GA26"")"),130)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IFERROR(__xludf.DUMMYFUNCTION("IMPORTRANGE(""https://docs.google.com/spreadsheets/d/1QqKyyYR6Q21VydFLVH3TRQUabQu_ym0Zz7PgGX0-kHA/edit?usp=sharing"",""แผน!GB26"")"),13)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908"/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IFERROR(__xludf.DUMMYFUNCTION("IMPORTRANGE(""https://docs.google.com/spreadsheets/d/1QqKyyYR6Q21VydFLVH3TRQUabQu_ym0Zz7PgGX0-kHA/edit?usp=sharing"",""แผน!GC26"")"),1)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IFERROR(__xludf.DUMMYFUNCTION("IMPORTRANGE(""https://docs.google.com/spreadsheets/d/1QqKyyYR6Q21VydFLVH3TRQUabQu_ym0Zz7PgGX0-kHA/edit?usp=sharing"",""แผน!FY26"")"),1170)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IFERROR(__xludf.DUMMYFUNCTION("IMPORTRANGE(""https://docs.google.com/spreadsheets/d/1QqKyyYR6Q21VydFLVH3TRQUabQu_ym0Zz7PgGX0-kHA/edit?usp=sharing"",""แผน!GA26"")"),130)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6">L503+L504</f>
        <v>0</v>
      </c>
      <c r="M502" s="614">
        <f t="shared" si="216"/>
        <v>0</v>
      </c>
      <c r="N502" s="614">
        <f t="shared" si="216"/>
        <v>0</v>
      </c>
      <c r="O502" s="614">
        <f t="shared" ref="O502:O507" si="217">IF(L502&gt;0,N502*100/L502,0)</f>
        <v>0</v>
      </c>
      <c r="P502" s="614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6"/>
      <c r="D505" s="853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853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 hidden="1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5">I537</f>
        <v>0</v>
      </c>
      <c r="J522" s="675">
        <f t="shared" ca="1" si="225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IFERROR(__xludf.DUMMYFUNCTION("IMPORTRANGE(""https://docs.google.com/spreadsheets/d/1QqKyyYR6Q21VydFLVH3TRQUabQu_ym0Zz7PgGX0-kHA/edit?usp=sharing"",""แผน!GU26"")"),0)</f>
        <v>0</v>
      </c>
      <c r="J537" s="648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 hidden="1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IFERROR(__xludf.DUMMYFUNCTION("IMPORTRANGE(""https://docs.google.com/spreadsheets/d/1QqKyyYR6Q21VydFLVH3TRQUabQu_ym0Zz7PgGX0-kHA/edit?usp=sharing"",""แผน!GV26"")"),0)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 hidden="1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IFERROR(__xludf.DUMMYFUNCTION("IMPORTRANGE(""https://docs.google.com/spreadsheets/d/1QqKyyYR6Q21VydFLVH3TRQUabQu_ym0Zz7PgGX0-kHA/edit?usp=sharing"",""แผน!GW26"")"),0)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 hidden="1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IFERROR(__xludf.DUMMYFUNCTION("IMPORTRANGE(""https://docs.google.com/spreadsheets/d/1QqKyyYR6Q21VydFLVH3TRQUabQu_ym0Zz7PgGX0-kHA/edit?usp=sharing"",""แผน!GX26"")"),0)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 hidden="1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IFERROR(__xludf.DUMMYFUNCTION("IMPORTRANGE(""https://docs.google.com/spreadsheets/d/1QqKyyYR6Q21VydFLVH3TRQUabQu_ym0Zz7PgGX0-kHA/edit?usp=sharing"",""แผน!GY26"")"),0)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 hidden="1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IFERROR(__xludf.DUMMYFUNCTION("IMPORTRANGE(""https://docs.google.com/spreadsheets/d/1QqKyyYR6Q21VydFLVH3TRQUabQu_ym0Zz7PgGX0-kHA/edit?usp=sharing"",""แผน!GZ26"")"),0)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5">I559</f>
        <v>24651</v>
      </c>
      <c r="J543" s="654">
        <f t="shared" si="235"/>
        <v>0</v>
      </c>
      <c r="K543" s="655">
        <f t="shared" ca="1" si="234"/>
        <v>0</v>
      </c>
      <c r="L543" s="637"/>
      <c r="M543" s="637"/>
      <c r="N543" s="637"/>
      <c r="O543" s="637"/>
      <c r="P543" s="637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6">L545+L546</f>
        <v>485811</v>
      </c>
      <c r="M544" s="155">
        <f t="shared" si="236"/>
        <v>0</v>
      </c>
      <c r="N544" s="155">
        <f t="shared" si="236"/>
        <v>100390</v>
      </c>
      <c r="O544" s="155">
        <f t="shared" ref="O544:O549" ca="1" si="237">IF(L544&gt;0,N544*100/L544,0)</f>
        <v>20.664414762119424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39"/>
        <v>485811</v>
      </c>
      <c r="M546" s="93">
        <f t="shared" si="240"/>
        <v>0</v>
      </c>
      <c r="N546" s="93">
        <f t="shared" si="240"/>
        <v>100390</v>
      </c>
      <c r="O546" s="93">
        <f t="shared" ca="1" si="237"/>
        <v>20.664414762119424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1">L548+L549</f>
        <v>485811</v>
      </c>
      <c r="M547" s="466">
        <f t="shared" si="241"/>
        <v>0</v>
      </c>
      <c r="N547" s="466">
        <f t="shared" si="241"/>
        <v>100390</v>
      </c>
      <c r="O547" s="466">
        <f t="shared" ca="1" si="237"/>
        <v>20.664414762119424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IFERROR(__xludf.DUMMYFUNCTION("IMPORTRANGE(""https://docs.google.com/spreadsheets/d/1QqKyyYR6Q21VydFLVH3TRQUabQu_ym0Zz7PgGX0-kHA/edit?usp=sharing"",""แผน!HB26"")"),485811)</f>
        <v>485811</v>
      </c>
      <c r="M549" s="93">
        <v>0</v>
      </c>
      <c r="N549" s="93">
        <f>N550+N551+N552+N553+N554</f>
        <v>100390</v>
      </c>
      <c r="O549" s="93">
        <f t="shared" ca="1" si="237"/>
        <v>20.664414762119424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801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801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801">
        <v>39000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801">
        <v>61390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5">I576</f>
        <v>24651</v>
      </c>
      <c r="J559" s="675">
        <f t="shared" si="245"/>
        <v>0</v>
      </c>
      <c r="K559" s="644">
        <f t="shared" ref="K559:K561" ca="1" si="246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9"/>
      <c r="H560" s="734" t="s">
        <v>46</v>
      </c>
      <c r="I560" s="193">
        <f ca="1">IFERROR(__xludf.DUMMYFUNCTION("IMPORTRANGE(""https://docs.google.com/spreadsheets/d/1QqKyyYR6Q21VydFLVH3TRQUabQu_ym0Zz7PgGX0-kHA/edit?usp=sharing"",""แผน!HH26"")"),24651)</f>
        <v>24651</v>
      </c>
      <c r="J560" s="193">
        <f t="shared" ref="J560:J561" si="247">J562+J564+J566</f>
        <v>24651</v>
      </c>
      <c r="K560" s="380">
        <f t="shared" ca="1" si="246"/>
        <v>100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9"/>
      <c r="H561" s="734" t="s">
        <v>34</v>
      </c>
      <c r="I561" s="193">
        <f ca="1">IFERROR(__xludf.DUMMYFUNCTION("IMPORTRANGE(""https://docs.google.com/spreadsheets/d/1QqKyyYR6Q21VydFLVH3TRQUabQu_ym0Zz7PgGX0-kHA/edit?usp=sharing"",""แผน!HG26"")"),4817)</f>
        <v>4817</v>
      </c>
      <c r="J561" s="193">
        <f t="shared" si="247"/>
        <v>4817</v>
      </c>
      <c r="K561" s="380">
        <f t="shared" ca="1" si="246"/>
        <v>100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v>21886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v>4325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v>2152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v>379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v>613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v>113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9"/>
      <c r="H568" s="734" t="s">
        <v>46</v>
      </c>
      <c r="I568" s="193">
        <f ca="1">IFERROR(__xludf.DUMMYFUNCTION("IMPORTRANGE(""https://docs.google.com/spreadsheets/d/1QqKyyYR6Q21VydFLVH3TRQUabQu_ym0Zz7PgGX0-kHA/edit?usp=sharing"",""แผน!HH26"")"),24651)</f>
        <v>24651</v>
      </c>
      <c r="J568" s="648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9"/>
      <c r="H569" s="734" t="s">
        <v>34</v>
      </c>
      <c r="I569" s="193">
        <f ca="1">IFERROR(__xludf.DUMMYFUNCTION("IMPORTRANGE(""https://docs.google.com/spreadsheets/d/1QqKyyYR6Q21VydFLVH3TRQUabQu_ym0Zz7PgGX0-kHA/edit?usp=sharing"",""แผน!HG26"")"),4817)</f>
        <v>4817</v>
      </c>
      <c r="J569" s="648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9"/>
      <c r="H576" s="734" t="s">
        <v>46</v>
      </c>
      <c r="I576" s="193">
        <f ca="1">IFERROR(__xludf.DUMMYFUNCTION("IMPORTRANGE(""https://docs.google.com/spreadsheets/d/1QqKyyYR6Q21VydFLVH3TRQUabQu_ym0Zz7PgGX0-kHA/edit?usp=sharing"",""แผน!HH26"")"),24651)</f>
        <v>24651</v>
      </c>
      <c r="J576" s="648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9"/>
      <c r="H577" s="734" t="s">
        <v>34</v>
      </c>
      <c r="I577" s="193">
        <f ca="1">IFERROR(__xludf.DUMMYFUNCTION("IMPORTRANGE(""https://docs.google.com/spreadsheets/d/1QqKyyYR6Q21VydFLVH3TRQUabQu_ym0Zz7PgGX0-kHA/edit?usp=sharing"",""แผน!HG26"")"),4817)</f>
        <v>4817</v>
      </c>
      <c r="J577" s="648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3">I593</f>
        <v>3952.03</v>
      </c>
      <c r="J592" s="675">
        <f t="shared" si="253"/>
        <v>2834.49</v>
      </c>
      <c r="K592" s="644">
        <f t="shared" ref="K592:K594" ca="1" si="254">IF(I592&gt;0,J592*100/I592,0)</f>
        <v>71.722380649944455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IFERROR(__xludf.DUMMYFUNCTION("IMPORTRANGE(""https://docs.google.com/spreadsheets/d/1QqKyyYR6Q21VydFLVH3TRQUabQu_ym0Zz7PgGX0-kHA/edit?usp=sharing"",""แผน!HJ26"")"),3952.03)</f>
        <v>3952.03</v>
      </c>
      <c r="J593" s="193">
        <f t="shared" ref="J593:J594" si="255">J595+J603+J609</f>
        <v>2834.49</v>
      </c>
      <c r="K593" s="380">
        <f t="shared" ca="1" si="254"/>
        <v>71.722380649944455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IFERROR(__xludf.DUMMYFUNCTION("IMPORTRANGE(""https://docs.google.com/spreadsheets/d/1QqKyyYR6Q21VydFLVH3TRQUabQu_ym0Zz7PgGX0-kHA/edit?usp=sharing"",""แผน!HI26"")"),599)</f>
        <v>599</v>
      </c>
      <c r="J594" s="193">
        <f t="shared" si="255"/>
        <v>395</v>
      </c>
      <c r="K594" s="380">
        <f t="shared" ca="1" si="254"/>
        <v>65.943238731218699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6">J597+J599</f>
        <v>2834.49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6"/>
        <v>395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215">
        <v>136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13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215">
        <v>2698.49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382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8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59">J614+J616</f>
        <v>0</v>
      </c>
      <c r="K612" s="684">
        <f t="shared" si="258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59"/>
        <v>0</v>
      </c>
      <c r="K613" s="684">
        <f t="shared" si="258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IFERROR(__xludf.DUMMYFUNCTION("IMPORTRANGE(""https://docs.google.com/spreadsheets/d/1QqKyyYR6Q21VydFLVH3TRQUabQu_ym0Zz7PgGX0-kHA/edit?usp=sharing"",""แผน!HL26"")"),114)</f>
        <v>114</v>
      </c>
      <c r="J620" s="695">
        <f t="shared" ref="J620:J621" si="260">J622+J624+J626</f>
        <v>0</v>
      </c>
      <c r="K620" s="696">
        <f t="shared" ref="K620:K621" ca="1" si="261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IFERROR(__xludf.DUMMYFUNCTION("IMPORTRANGE(""https://docs.google.com/spreadsheets/d/1QqKyyYR6Q21VydFLVH3TRQUabQu_ym0Zz7PgGX0-kHA/edit?usp=sharing"",""แผน!HK26"")"),13)</f>
        <v>13</v>
      </c>
      <c r="J621" s="695">
        <f t="shared" si="260"/>
        <v>0</v>
      </c>
      <c r="K621" s="696">
        <f t="shared" ca="1" si="261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262">I651</f>
        <v>20</v>
      </c>
      <c r="J628" s="708">
        <f t="shared" ca="1" si="262"/>
        <v>0</v>
      </c>
      <c r="K628" s="709">
        <f ca="1">IF(I628&gt;0,J628*100/I628,0)</f>
        <v>0</v>
      </c>
      <c r="L628" s="710"/>
      <c r="M628" s="710"/>
      <c r="N628" s="710"/>
      <c r="O628" s="710"/>
      <c r="P628" s="710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187805</v>
      </c>
      <c r="M629" s="195">
        <f t="shared" si="263"/>
        <v>0</v>
      </c>
      <c r="N629" s="195">
        <f t="shared" si="263"/>
        <v>20986</v>
      </c>
      <c r="O629" s="195">
        <f t="shared" ref="O629:O634" ca="1" si="264">IF(L629&gt;0,N629*100/L629,0)</f>
        <v>11.174356380288065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6"/>
        <v>187805</v>
      </c>
      <c r="M631" s="93">
        <f t="shared" si="266"/>
        <v>0</v>
      </c>
      <c r="N631" s="93">
        <f t="shared" si="266"/>
        <v>20986</v>
      </c>
      <c r="O631" s="93">
        <f t="shared" ca="1" si="264"/>
        <v>11.174356380288065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7">L633+L634</f>
        <v>187805</v>
      </c>
      <c r="M632" s="466">
        <f t="shared" si="267"/>
        <v>0</v>
      </c>
      <c r="N632" s="466">
        <f t="shared" si="267"/>
        <v>20986</v>
      </c>
      <c r="O632" s="466">
        <f t="shared" ca="1" si="264"/>
        <v>11.174356380288065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IFERROR(__xludf.DUMMYFUNCTION("IMPORTRANGE(""https://docs.google.com/spreadsheets/d/1QqKyyYR6Q21VydFLVH3TRQUabQu_ym0Zz7PgGX0-kHA/edit?usp=sharing"",""แผน!HN26"")"),187805)</f>
        <v>187805</v>
      </c>
      <c r="M634" s="93">
        <v>0</v>
      </c>
      <c r="N634" s="93">
        <f>N635+N636+N637+N638</f>
        <v>20986</v>
      </c>
      <c r="O634" s="93">
        <f t="shared" ca="1" si="264"/>
        <v>11.174356380288065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v>20986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IFERROR(__xludf.DUMMYFUNCTION("IMPORTRANGE(""https://docs.google.com/spreadsheets/d/1QqKyyYR6Q21VydFLVH3TRQUabQu_ym0Zz7PgGX0-kHA/edit?usp=sharing"",""แผน!HR26"")"),0)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IFERROR(__xludf.DUMMYFUNCTION("IMPORTRANGE(""https://docs.google.com/spreadsheets/d/1QqKyyYR6Q21VydFLVH3TRQUabQu_ym0Zz7PgGX0-kHA/edit?usp=sharing"",""แผน!HR26"")"),0)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IFERROR(__xludf.DUMMYFUNCTION("IMPORTRANGE(""https://docs.google.com/spreadsheets/d/1XWAQStnk-4SwqDmLtmXYiTMKHgktTP8We1SCoS47DrQ/edit?usp=sharing"",""จัดที่ดิน!AS26"")"),23)</f>
        <v>23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IFERROR(__xludf.DUMMYFUNCTION("IMPORTRANGE(""https://docs.google.com/spreadsheets/d/1XWAQStnk-4SwqDmLtmXYiTMKHgktTP8We1SCoS47DrQ/edit?usp=sharing"",""จัดที่ดิน!AT26"")"),16.14)</f>
        <v>16.14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IFERROR(__xludf.DUMMYFUNCTION("IMPORTRANGE(""https://docs.google.com/spreadsheets/d/1QqKyyYR6Q21VydFLVH3TRQUabQu_ym0Zz7PgGX0-kHA/edit?usp=sharing"",""แผน!HS26"")"),20)</f>
        <v>20</v>
      </c>
      <c r="J647" s="270">
        <f ca="1">IFERROR(__xludf.DUMMYFUNCTION("IMPORTRANGE(""https://docs.google.com/spreadsheets/d/1XWAQStnk-4SwqDmLtmXYiTMKHgktTP8We1SCoS47DrQ/edit?usp=sharing"",""จัดที่ดิน!AU26"")"),0)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IFERROR(__xludf.DUMMYFUNCTION("IMPORTRANGE(""https://docs.google.com/spreadsheets/d/1XWAQStnk-4SwqDmLtmXYiTMKHgktTP8We1SCoS47DrQ/edit?usp=sharing"",""จัดที่ดิน!AV26"")"),0)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IFERROR(__xludf.DUMMYFUNCTION("IMPORTRANGE(""https://docs.google.com/spreadsheets/d/1QqKyyYR6Q21VydFLVH3TRQUabQu_ym0Zz7PgGX0-kHA/edit?usp=sharing"",""แผน!HS26"")"),20)</f>
        <v>20</v>
      </c>
      <c r="J649" s="270">
        <f ca="1">IFERROR(__xludf.DUMMYFUNCTION("IMPORTRANGE(""https://docs.google.com/spreadsheets/d/1XWAQStnk-4SwqDmLtmXYiTMKHgktTP8We1SCoS47DrQ/edit?usp=sharing"",""จัดที่ดิน!AW26"")"),0)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IFERROR(__xludf.DUMMYFUNCTION("IMPORTRANGE(""https://docs.google.com/spreadsheets/d/1XWAQStnk-4SwqDmLtmXYiTMKHgktTP8We1SCoS47DrQ/edit?usp=sharing"",""จัดที่ดิน!AX26"")"),0)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IFERROR(__xludf.DUMMYFUNCTION("IMPORTRANGE(""https://docs.google.com/spreadsheets/d/1QqKyyYR6Q21VydFLVH3TRQUabQu_ym0Zz7PgGX0-kHA/edit?usp=sharing"",""แผน!HS26"")"),20)</f>
        <v>20</v>
      </c>
      <c r="J651" s="270">
        <f ca="1">IFERROR(__xludf.DUMMYFUNCTION("IMPORTRANGE(""https://docs.google.com/spreadsheets/d/1XWAQStnk-4SwqDmLtmXYiTMKHgktTP8We1SCoS47DrQ/edit?usp=sharing"",""จัดที่ดิน!AY26"")"),0)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IFERROR(__xludf.DUMMYFUNCTION("IMPORTRANGE(""https://docs.google.com/spreadsheets/d/1XWAQStnk-4SwqDmLtmXYiTMKHgktTP8We1SCoS47DrQ/edit?usp=sharing"",""จัดที่ดิน!AZ26"")"),0)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2">I669</f>
        <v>100</v>
      </c>
      <c r="J654" s="675">
        <f t="shared" si="27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14000</v>
      </c>
      <c r="M655" s="195">
        <f t="shared" si="273"/>
        <v>0</v>
      </c>
      <c r="N655" s="195">
        <f t="shared" si="273"/>
        <v>5780</v>
      </c>
      <c r="O655" s="195">
        <f t="shared" ref="O655:O660" ca="1" si="274">IF(L655&gt;0,N655*100/L655,0)</f>
        <v>41.285714285714285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6"/>
        <v>14000</v>
      </c>
      <c r="M657" s="93">
        <f t="shared" si="276"/>
        <v>0</v>
      </c>
      <c r="N657" s="93">
        <f t="shared" si="276"/>
        <v>5780</v>
      </c>
      <c r="O657" s="93">
        <f t="shared" ca="1" si="274"/>
        <v>41.285714285714285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7">L659+L660</f>
        <v>14000</v>
      </c>
      <c r="M658" s="466">
        <f t="shared" si="277"/>
        <v>0</v>
      </c>
      <c r="N658" s="466">
        <f t="shared" si="277"/>
        <v>5780</v>
      </c>
      <c r="O658" s="466">
        <f t="shared" ca="1" si="274"/>
        <v>41.285714285714285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IFERROR(__xludf.DUMMYFUNCTION("IMPORTRANGE(""https://docs.google.com/spreadsheets/d/1QqKyyYR6Q21VydFLVH3TRQUabQu_ym0Zz7PgGX0-kHA/edit?usp=sharing"",""แผน!HV26"")"),14000)</f>
        <v>14000</v>
      </c>
      <c r="M660" s="93">
        <v>0</v>
      </c>
      <c r="N660" s="93">
        <f>N661+N662+N663+N664</f>
        <v>5780</v>
      </c>
      <c r="O660" s="93">
        <f t="shared" ca="1" si="274"/>
        <v>41.285714285714285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v>5780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IFERROR(__xludf.DUMMYFUNCTION("IMPORTRANGE(""https://docs.google.com/spreadsheets/d/1QqKyyYR6Q21VydFLVH3TRQUabQu_ym0Zz7PgGX0-kHA/edit?usp=sharing"",""แผน!IA26"")"),100)</f>
        <v>100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IFERROR(__xludf.DUMMYFUNCTION("IMPORTRANGE(""https://docs.google.com/spreadsheets/d/1QqKyyYR6Q21VydFLVH3TRQUabQu_ym0Zz7PgGX0-kHA/edit?usp=sharing"",""แผน!HZ26"")"),5)</f>
        <v>5</v>
      </c>
      <c r="J670" s="215">
        <v>5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IFERROR(__xludf.DUMMYFUNCTION("IMPORTRANGE(""https://docs.google.com/spreadsheets/d/1QqKyyYR6Q21VydFLVH3TRQUabQu_ym0Zz7PgGX0-kHA/edit?usp=sharing"",""แผน!HZ26"")"),5)</f>
        <v>5</v>
      </c>
      <c r="J671" s="215">
        <v>5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IFERROR(__xludf.DUMMYFUNCTION("IMPORTRANGE(""https://docs.google.com/spreadsheets/d/1QqKyyYR6Q21VydFLVH3TRQUabQu_ym0Zz7PgGX0-kHA/edit?usp=sharing"",""แผน!IB26"")"),0)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 hidden="1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 hidden="1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 hidden="1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 hidden="1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 hidden="1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 hidden="1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 hidden="1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 hidden="1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 hidden="1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 hidden="1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IFERROR(__xludf.DUMMYFUNCTION("IMPORTRANGE(""https://docs.google.com/spreadsheets/d/1QqKyyYR6Q21VydFLVH3TRQUabQu_ym0Zz7PgGX0-kHA/edit?usp=sharing"",""แผน!IC26"")"),0)</f>
        <v>0</v>
      </c>
      <c r="J699" s="270">
        <f ca="1">IFERROR(__xludf.DUMMYFUNCTION("IMPORTRANGE(""https://docs.google.com/spreadsheets/d/1XWAQStnk-4SwqDmLtmXYiTMKHgktTP8We1SCoS47DrQ/edit?usp=sharing"",""จัดที่ดิน!BB26"")"),0)</f>
        <v>0</v>
      </c>
      <c r="K699" s="466">
        <f t="shared" ref="K699:K701" ca="1" si="290">IF(I699&gt;0,J699*100/I699,0)</f>
        <v>0</v>
      </c>
      <c r="L699" s="466"/>
      <c r="M699" s="189"/>
      <c r="N699" s="733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 hidden="1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IFERROR(__xludf.DUMMYFUNCTION("IMPORTRANGE(""https://docs.google.com/spreadsheets/d/1QqKyyYR6Q21VydFLVH3TRQUabQu_ym0Zz7PgGX0-kHA/edit?usp=sharing"",""แผน!ID26"")"),0)</f>
        <v>0</v>
      </c>
      <c r="J700" s="270">
        <f ca="1">IFERROR(__xludf.DUMMYFUNCTION("IMPORTRANGE(""https://docs.google.com/spreadsheets/d/1XWAQStnk-4SwqDmLtmXYiTMKHgktTP8We1SCoS47DrQ/edit?usp=sharing"",""จัดที่ดิน!BD26"")"),0)</f>
        <v>0</v>
      </c>
      <c r="K700" s="466">
        <f t="shared" ca="1" si="290"/>
        <v>0</v>
      </c>
      <c r="L700" s="466"/>
      <c r="M700" s="189"/>
      <c r="N700" s="733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 hidden="1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IFERROR(__xludf.DUMMYFUNCTION("IMPORTRANGE(""https://docs.google.com/spreadsheets/d/1QqKyyYR6Q21VydFLVH3TRQUabQu_ym0Zz7PgGX0-kHA/edit?usp=sharing"",""แผน!IE26"")"),0)</f>
        <v>0</v>
      </c>
      <c r="J701" s="648">
        <f>J704+J707</f>
        <v>0</v>
      </c>
      <c r="K701" s="195">
        <f t="shared" ca="1" si="290"/>
        <v>0</v>
      </c>
      <c r="L701" s="466"/>
      <c r="M701" s="189"/>
      <c r="N701" s="733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 hidden="1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 hidden="1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 hidden="1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IFERROR(__xludf.DUMMYFUNCTION("IMPORTRANGE(""https://docs.google.com/spreadsheets/d/1QqKyyYR6Q21VydFLVH3TRQUabQu_ym0Zz7PgGX0-kHA/edit?usp=sharing"",""แผน!IF26"")"),0)</f>
        <v>0</v>
      </c>
      <c r="J704" s="215">
        <v>0</v>
      </c>
      <c r="K704" s="466"/>
      <c r="L704" s="466"/>
      <c r="M704" s="189"/>
      <c r="N704" s="733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 hidden="1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0</v>
      </c>
      <c r="K705" s="466"/>
      <c r="L705" s="466"/>
      <c r="M705" s="189"/>
      <c r="N705" s="733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 hidden="1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0</v>
      </c>
      <c r="K706" s="466"/>
      <c r="L706" s="466"/>
      <c r="M706" s="189"/>
      <c r="N706" s="733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 hidden="1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IFERROR(__xludf.DUMMYFUNCTION("IMPORTRANGE(""https://docs.google.com/spreadsheets/d/1QqKyyYR6Q21VydFLVH3TRQUabQu_ym0Zz7PgGX0-kHA/edit?usp=sharing"",""แผน!IG26"")"),0)</f>
        <v>0</v>
      </c>
      <c r="J707" s="215">
        <v>0</v>
      </c>
      <c r="K707" s="466"/>
      <c r="L707" s="466"/>
      <c r="M707" s="189"/>
      <c r="N707" s="733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 hidden="1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IFERROR(__xludf.DUMMYFUNCTION("IMPORTRANGE(""https://docs.google.com/spreadsheets/d/1QqKyyYR6Q21VydFLVH3TRQUabQu_ym0Zz7PgGX0-kHA/edit?usp=sharing"",""แผน!IH26"")"),0)</f>
        <v>0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 hidden="1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 hidden="1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 hidden="1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 hidden="1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 hidden="1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 hidden="1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 hidden="1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 hidden="1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 hidden="1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 hidden="1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IFERROR(__xludf.DUMMYFUNCTION("IMPORTRANGE(""https://docs.google.com/spreadsheets/d/1XWAQStnk-4SwqDmLtmXYiTMKHgktTP8We1SCoS47DrQ/edit?usp=sharing"",""จัดที่ดิน!BF26"")"),0)</f>
        <v>0</v>
      </c>
      <c r="K718" s="466"/>
      <c r="L718" s="466"/>
      <c r="M718" s="189"/>
      <c r="N718" s="733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 hidden="1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IFERROR(__xludf.DUMMYFUNCTION("IMPORTRANGE(""https://docs.google.com/spreadsheets/d/1XWAQStnk-4SwqDmLtmXYiTMKHgktTP8We1SCoS47DrQ/edit?usp=sharing"",""จัดที่ดิน!BG26"")"),0)</f>
        <v>0</v>
      </c>
      <c r="K719" s="466"/>
      <c r="L719" s="733"/>
      <c r="M719" s="189"/>
      <c r="N719" s="733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 hidden="1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IFERROR(__xludf.DUMMYFUNCTION("IMPORTRANGE(""https://docs.google.com/spreadsheets/d/1QqKyyYR6Q21VydFLVH3TRQUabQu_ym0Zz7PgGX0-kHA/edit?usp=sharing"",""แผน!II26"")"),0)</f>
        <v>0</v>
      </c>
      <c r="J720" s="270">
        <f ca="1">IFERROR(__xludf.DUMMYFUNCTION("IMPORTRANGE(""https://docs.google.com/spreadsheets/d/1XWAQStnk-4SwqDmLtmXYiTMKHgktTP8We1SCoS47DrQ/edit?usp=sharing"",""จัดที่ดิน!BH26"")"),0)</f>
        <v>0</v>
      </c>
      <c r="K720" s="466">
        <f t="shared" ref="K720:K723" ca="1" si="291">IF(I720&gt;0,J720*100/I720,0)</f>
        <v>0</v>
      </c>
      <c r="L720" s="733"/>
      <c r="M720" s="189"/>
      <c r="N720" s="733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 hidden="1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IFERROR(__xludf.DUMMYFUNCTION("IMPORTRANGE(""https://docs.google.com/spreadsheets/d/1QqKyyYR6Q21VydFLVH3TRQUabQu_ym0Zz7PgGX0-kHA/edit?usp=sharing"",""แผน!IJ26"")"),0)</f>
        <v>0</v>
      </c>
      <c r="J721" s="648">
        <f ca="1">J723+J726</f>
        <v>0</v>
      </c>
      <c r="K721" s="195">
        <f t="shared" ca="1" si="291"/>
        <v>0</v>
      </c>
      <c r="L721" s="733"/>
      <c r="M721" s="189"/>
      <c r="N721" s="733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 hidden="1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IFERROR(__xludf.DUMMYFUNCTION("IMPORTRANGE(""https://docs.google.com/spreadsheets/d/1QqKyyYR6Q21VydFLVH3TRQUabQu_ym0Zz7PgGX0-kHA/edit?usp=sharing"",""แผน!IK26"")"),0)</f>
        <v>0</v>
      </c>
      <c r="J722" s="648">
        <f ca="1">J725+J728</f>
        <v>0</v>
      </c>
      <c r="K722" s="195">
        <f t="shared" ca="1" si="291"/>
        <v>0</v>
      </c>
      <c r="L722" s="466"/>
      <c r="M722" s="189"/>
      <c r="N722" s="733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 hidden="1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IFERROR(__xludf.DUMMYFUNCTION("IMPORTRANGE(""https://docs.google.com/spreadsheets/d/1QqKyyYR6Q21VydFLVH3TRQUabQu_ym0Zz7PgGX0-kHA/edit?usp=sharing"",""แผน!IL26"")"),0)</f>
        <v>0</v>
      </c>
      <c r="J723" s="270">
        <f ca="1">IFERROR(__xludf.DUMMYFUNCTION("IMPORTRANGE(""https://docs.google.com/spreadsheets/d/1XWAQStnk-4SwqDmLtmXYiTMKHgktTP8We1SCoS47DrQ/edit?usp=sharing"",""จัดที่ดิน!BM26"")"),0)</f>
        <v>0</v>
      </c>
      <c r="K723" s="466">
        <f t="shared" ca="1" si="291"/>
        <v>0</v>
      </c>
      <c r="L723" s="466"/>
      <c r="M723" s="189"/>
      <c r="N723" s="733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 hidden="1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IFERROR(__xludf.DUMMYFUNCTION("IMPORTRANGE(""https://docs.google.com/spreadsheets/d/1XWAQStnk-4SwqDmLtmXYiTMKHgktTP8We1SCoS47DrQ/edit?usp=sharing"",""จัดที่ดิน!BN26"")"),0)</f>
        <v>0</v>
      </c>
      <c r="K724" s="466"/>
      <c r="L724" s="733"/>
      <c r="M724" s="189"/>
      <c r="N724" s="733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 hidden="1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IFERROR(__xludf.DUMMYFUNCTION("IMPORTRANGE(""https://docs.google.com/spreadsheets/d/1QqKyyYR6Q21VydFLVH3TRQUabQu_ym0Zz7PgGX0-kHA/edit?usp=sharing"",""แผน!IM26"")"),0)</f>
        <v>0</v>
      </c>
      <c r="J725" s="270">
        <f ca="1">IFERROR(__xludf.DUMMYFUNCTION("IMPORTRANGE(""https://docs.google.com/spreadsheets/d/1XWAQStnk-4SwqDmLtmXYiTMKHgktTP8We1SCoS47DrQ/edit?usp=sharing"",""จัดที่ดิน!BO26"")"),0)</f>
        <v>0</v>
      </c>
      <c r="K725" s="466">
        <f t="shared" ref="K725:K726" ca="1" si="292">IF(I725&gt;0,J725*100/I725,0)</f>
        <v>0</v>
      </c>
      <c r="L725" s="733"/>
      <c r="M725" s="189"/>
      <c r="N725" s="733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 hidden="1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IFERROR(__xludf.DUMMYFUNCTION("IMPORTRANGE(""https://docs.google.com/spreadsheets/d/1QqKyyYR6Q21VydFLVH3TRQUabQu_ym0Zz7PgGX0-kHA/edit?usp=sharing"",""แผน!IN26"")"),0)</f>
        <v>0</v>
      </c>
      <c r="J726" s="270">
        <f ca="1">IFERROR(__xludf.DUMMYFUNCTION("IMPORTRANGE(""https://docs.google.com/spreadsheets/d/1XWAQStnk-4SwqDmLtmXYiTMKHgktTP8We1SCoS47DrQ/edit?usp=sharing"",""จัดที่ดิน!BR26"")"),0)</f>
        <v>0</v>
      </c>
      <c r="K726" s="466">
        <f t="shared" ca="1" si="292"/>
        <v>0</v>
      </c>
      <c r="L726" s="466"/>
      <c r="M726" s="189"/>
      <c r="N726" s="733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 hidden="1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IFERROR(__xludf.DUMMYFUNCTION("IMPORTRANGE(""https://docs.google.com/spreadsheets/d/1XWAQStnk-4SwqDmLtmXYiTMKHgktTP8We1SCoS47DrQ/edit?usp=sharing"",""จัดที่ดิน!BS26"")"),0)</f>
        <v>0</v>
      </c>
      <c r="K727" s="466"/>
      <c r="L727" s="733"/>
      <c r="M727" s="189"/>
      <c r="N727" s="733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 hidden="1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IFERROR(__xludf.DUMMYFUNCTION("IMPORTRANGE(""https://docs.google.com/spreadsheets/d/1QqKyyYR6Q21VydFLVH3TRQUabQu_ym0Zz7PgGX0-kHA/edit?usp=sharing"",""แผน!IO26"")"),0)</f>
        <v>0</v>
      </c>
      <c r="J728" s="270">
        <f ca="1">IFERROR(__xludf.DUMMYFUNCTION("IMPORTRANGE(""https://docs.google.com/spreadsheets/d/1XWAQStnk-4SwqDmLtmXYiTMKHgktTP8We1SCoS47DrQ/edit?usp=sharing"",""จัดที่ดิน!BT26"")"),0)</f>
        <v>0</v>
      </c>
      <c r="K728" s="466">
        <f t="shared" ref="K728:K729" ca="1" si="293">IF(I728&gt;0,J728*100/I728,0)</f>
        <v>0</v>
      </c>
      <c r="L728" s="733"/>
      <c r="M728" s="189"/>
      <c r="N728" s="733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 hidden="1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IFERROR(__xludf.DUMMYFUNCTION("IMPORTRANGE(""https://docs.google.com/spreadsheets/d/1QqKyyYR6Q21VydFLVH3TRQUabQu_ym0Zz7PgGX0-kHA/edit?usp=sharing"",""แผน!IP26"")"),0)</f>
        <v>0</v>
      </c>
      <c r="J729" s="648">
        <f>J732+J735</f>
        <v>0</v>
      </c>
      <c r="K729" s="195">
        <f t="shared" ca="1" si="293"/>
        <v>0</v>
      </c>
      <c r="L729" s="466"/>
      <c r="M729" s="189"/>
      <c r="N729" s="733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 hidden="1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0</v>
      </c>
      <c r="K730" s="466"/>
      <c r="L730" s="733"/>
      <c r="M730" s="466"/>
      <c r="N730" s="733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 hidden="1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0</v>
      </c>
      <c r="K731" s="466"/>
      <c r="L731" s="733"/>
      <c r="M731" s="466"/>
      <c r="N731" s="733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 hidden="1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0</v>
      </c>
      <c r="K732" s="466"/>
      <c r="L732" s="733"/>
      <c r="M732" s="466"/>
      <c r="N732" s="733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 hidden="1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0</v>
      </c>
      <c r="K733" s="466"/>
      <c r="L733" s="733"/>
      <c r="M733" s="466"/>
      <c r="N733" s="733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 hidden="1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0</v>
      </c>
      <c r="K734" s="466"/>
      <c r="L734" s="733"/>
      <c r="M734" s="466"/>
      <c r="N734" s="733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 hidden="1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0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4">L738+L739</f>
        <v>0</v>
      </c>
      <c r="M737" s="614">
        <f t="shared" si="294"/>
        <v>0</v>
      </c>
      <c r="N737" s="614">
        <f t="shared" si="294"/>
        <v>0</v>
      </c>
      <c r="O737" s="614">
        <f t="shared" ref="O737:O742" si="295">IF(L737&gt;0,N737*100/L737,0)</f>
        <v>0</v>
      </c>
      <c r="P737" s="614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6"/>
      <c r="D740" s="805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8">L741+L742</f>
        <v>0</v>
      </c>
      <c r="M740" s="614">
        <f t="shared" si="298"/>
        <v>0</v>
      </c>
      <c r="N740" s="614">
        <f t="shared" si="298"/>
        <v>0</v>
      </c>
      <c r="O740" s="614">
        <f t="shared" si="295"/>
        <v>0</v>
      </c>
      <c r="P740" s="614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6"/>
      <c r="D747" s="805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299">L748+L749</f>
        <v>0</v>
      </c>
      <c r="M747" s="614">
        <f t="shared" si="299"/>
        <v>0</v>
      </c>
      <c r="N747" s="614">
        <f t="shared" si="299"/>
        <v>0</v>
      </c>
      <c r="O747" s="614">
        <f t="shared" ref="O747:O749" si="300">IF(L747&gt;0,N747*100/L747,0)</f>
        <v>0</v>
      </c>
      <c r="P747" s="614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2">L755+L756</f>
        <v>0</v>
      </c>
      <c r="M754" s="614">
        <f t="shared" si="302"/>
        <v>0</v>
      </c>
      <c r="N754" s="614">
        <f t="shared" si="302"/>
        <v>0</v>
      </c>
      <c r="O754" s="614">
        <f t="shared" ref="O754:O759" si="303">IF(L754&gt;0,N754*100/L754,0)</f>
        <v>0</v>
      </c>
      <c r="P754" s="614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6"/>
      <c r="D757" s="805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6">L758+L759</f>
        <v>0</v>
      </c>
      <c r="M757" s="614">
        <f t="shared" si="306"/>
        <v>0</v>
      </c>
      <c r="N757" s="614">
        <f t="shared" si="306"/>
        <v>0</v>
      </c>
      <c r="O757" s="614">
        <f t="shared" si="303"/>
        <v>0</v>
      </c>
      <c r="P757" s="614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6"/>
      <c r="D764" s="805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7">L765+L766</f>
        <v>0</v>
      </c>
      <c r="M764" s="614">
        <f t="shared" si="307"/>
        <v>0</v>
      </c>
      <c r="N764" s="614">
        <f t="shared" si="307"/>
        <v>0</v>
      </c>
      <c r="O764" s="614">
        <f t="shared" ref="O764:O766" si="308">IF(L764&gt;0,N764*100/L764,0)</f>
        <v>0</v>
      </c>
      <c r="P764" s="614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0">L771+L772</f>
        <v>0</v>
      </c>
      <c r="M770" s="614">
        <f t="shared" si="310"/>
        <v>0</v>
      </c>
      <c r="N770" s="614">
        <f t="shared" si="310"/>
        <v>0</v>
      </c>
      <c r="O770" s="614">
        <f t="shared" ref="O770:O775" si="311">IF(L770&gt;0,N770*100/L770,0)</f>
        <v>0</v>
      </c>
      <c r="P770" s="614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6"/>
      <c r="D773" s="805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4">L774+L775</f>
        <v>0</v>
      </c>
      <c r="M773" s="614">
        <f t="shared" si="314"/>
        <v>0</v>
      </c>
      <c r="N773" s="614">
        <f t="shared" si="314"/>
        <v>0</v>
      </c>
      <c r="O773" s="614">
        <f t="shared" si="311"/>
        <v>0</v>
      </c>
      <c r="P773" s="614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6"/>
      <c r="D780" s="805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5">L781+L782</f>
        <v>0</v>
      </c>
      <c r="M780" s="614">
        <f t="shared" si="315"/>
        <v>0</v>
      </c>
      <c r="N780" s="614">
        <f t="shared" si="315"/>
        <v>0</v>
      </c>
      <c r="O780" s="614">
        <f t="shared" ref="O780:O782" si="316">IF(L780&gt;0,N780*100/L780,0)</f>
        <v>0</v>
      </c>
      <c r="P780" s="614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871" t="s">
        <v>46</v>
      </c>
      <c r="I785" s="872">
        <f t="shared" ref="I785:J785" ca="1" si="318">I801+I803</f>
        <v>3000</v>
      </c>
      <c r="J785" s="872">
        <f t="shared" ca="1" si="318"/>
        <v>348</v>
      </c>
      <c r="K785" s="873">
        <f ca="1">IF(I785&gt;0,J785*100/I785,0)</f>
        <v>11.6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874" t="s">
        <v>12</v>
      </c>
      <c r="I786" s="875"/>
      <c r="J786" s="875"/>
      <c r="K786" s="876"/>
      <c r="L786" s="195">
        <f t="shared" ref="L786:N786" ca="1" si="319">L787+L788</f>
        <v>197920</v>
      </c>
      <c r="M786" s="195">
        <f t="shared" si="319"/>
        <v>0</v>
      </c>
      <c r="N786" s="195">
        <f t="shared" si="319"/>
        <v>75406.959999999992</v>
      </c>
      <c r="O786" s="195">
        <f t="shared" ref="O786:O791" ca="1" si="320">IF(L786&gt;0,N786*100/L786,0)</f>
        <v>38.099717057396923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6"/>
      <c r="D787" s="687"/>
      <c r="E787" s="726" t="s">
        <v>184</v>
      </c>
      <c r="F787" s="726"/>
      <c r="G787" s="568"/>
      <c r="H787" s="877" t="s">
        <v>12</v>
      </c>
      <c r="I787" s="875"/>
      <c r="J787" s="875"/>
      <c r="K787" s="87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6" t="s">
        <v>185</v>
      </c>
      <c r="F788" s="726"/>
      <c r="G788" s="568"/>
      <c r="H788" s="877" t="s">
        <v>12</v>
      </c>
      <c r="I788" s="875"/>
      <c r="J788" s="875"/>
      <c r="K788" s="876"/>
      <c r="L788" s="93">
        <f t="shared" ca="1" si="322"/>
        <v>197920</v>
      </c>
      <c r="M788" s="93">
        <f t="shared" si="322"/>
        <v>0</v>
      </c>
      <c r="N788" s="93">
        <f t="shared" si="322"/>
        <v>75406.959999999992</v>
      </c>
      <c r="O788" s="93">
        <f t="shared" ca="1" si="320"/>
        <v>38.099717057396923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730"/>
      <c r="F789" s="730"/>
      <c r="G789" s="189"/>
      <c r="H789" s="878" t="s">
        <v>12</v>
      </c>
      <c r="I789" s="879"/>
      <c r="J789" s="879"/>
      <c r="K789" s="880"/>
      <c r="L789" s="466">
        <f t="shared" ref="L789:N789" ca="1" si="323">L790+L791</f>
        <v>197920</v>
      </c>
      <c r="M789" s="466">
        <f t="shared" si="323"/>
        <v>0</v>
      </c>
      <c r="N789" s="466">
        <f t="shared" si="323"/>
        <v>75406.959999999992</v>
      </c>
      <c r="O789" s="466">
        <f t="shared" ca="1" si="320"/>
        <v>38.099717057396923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6" t="s">
        <v>184</v>
      </c>
      <c r="F790" s="726"/>
      <c r="G790" s="568"/>
      <c r="H790" s="877" t="s">
        <v>12</v>
      </c>
      <c r="I790" s="875"/>
      <c r="J790" s="875"/>
      <c r="K790" s="87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6" t="s">
        <v>185</v>
      </c>
      <c r="F791" s="726"/>
      <c r="G791" s="568"/>
      <c r="H791" s="877" t="s">
        <v>12</v>
      </c>
      <c r="I791" s="875"/>
      <c r="J791" s="875"/>
      <c r="K791" s="876"/>
      <c r="L791" s="93">
        <f ca="1">IFERROR(__xludf.DUMMYFUNCTION("IMPORTRANGE(""https://docs.google.com/spreadsheets/d/1QqKyyYR6Q21VydFLVH3TRQUabQu_ym0Zz7PgGX0-kHA/edit?usp=sharing"",""แผน!JJ26"")"),197920)</f>
        <v>197920</v>
      </c>
      <c r="M791" s="93">
        <v>0</v>
      </c>
      <c r="N791" s="93">
        <f>N792+N793+N794+N795</f>
        <v>75406.959999999992</v>
      </c>
      <c r="O791" s="93">
        <f t="shared" ca="1" si="320"/>
        <v>38.099717057396923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730"/>
      <c r="D792" s="730"/>
      <c r="E792" s="730"/>
      <c r="F792" s="730" t="s">
        <v>186</v>
      </c>
      <c r="G792" s="189"/>
      <c r="H792" s="878" t="s">
        <v>12</v>
      </c>
      <c r="I792" s="875"/>
      <c r="J792" s="875"/>
      <c r="K792" s="876"/>
      <c r="L792" s="466"/>
      <c r="M792" s="466"/>
      <c r="N792" s="801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730"/>
      <c r="D793" s="730"/>
      <c r="E793" s="730"/>
      <c r="F793" s="730" t="s">
        <v>187</v>
      </c>
      <c r="G793" s="189"/>
      <c r="H793" s="878" t="s">
        <v>12</v>
      </c>
      <c r="I793" s="875"/>
      <c r="J793" s="875"/>
      <c r="K793" s="876"/>
      <c r="L793" s="466"/>
      <c r="M793" s="466"/>
      <c r="N793" s="801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730"/>
      <c r="D794" s="730"/>
      <c r="E794" s="730"/>
      <c r="F794" s="730" t="s">
        <v>188</v>
      </c>
      <c r="G794" s="189"/>
      <c r="H794" s="878" t="s">
        <v>12</v>
      </c>
      <c r="I794" s="875"/>
      <c r="J794" s="875"/>
      <c r="K794" s="876"/>
      <c r="L794" s="466"/>
      <c r="M794" s="466"/>
      <c r="N794" s="801">
        <v>37266.68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730"/>
      <c r="D795" s="730"/>
      <c r="E795" s="730"/>
      <c r="F795" s="730" t="s">
        <v>189</v>
      </c>
      <c r="G795" s="189"/>
      <c r="H795" s="878" t="s">
        <v>12</v>
      </c>
      <c r="I795" s="875"/>
      <c r="J795" s="875"/>
      <c r="K795" s="876"/>
      <c r="L795" s="466"/>
      <c r="M795" s="466"/>
      <c r="N795" s="801">
        <v>38140.28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730"/>
      <c r="D796" s="571" t="s">
        <v>21</v>
      </c>
      <c r="E796" s="730"/>
      <c r="F796" s="730"/>
      <c r="G796" s="189"/>
      <c r="H796" s="881" t="s">
        <v>12</v>
      </c>
      <c r="I796" s="879"/>
      <c r="J796" s="879"/>
      <c r="K796" s="880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6"/>
      <c r="D797" s="726"/>
      <c r="E797" s="726" t="s">
        <v>18</v>
      </c>
      <c r="F797" s="726"/>
      <c r="G797" s="568"/>
      <c r="H797" s="877" t="s">
        <v>12</v>
      </c>
      <c r="I797" s="879"/>
      <c r="J797" s="879"/>
      <c r="K797" s="88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6"/>
      <c r="D798" s="726"/>
      <c r="E798" s="726" t="s">
        <v>19</v>
      </c>
      <c r="F798" s="726"/>
      <c r="G798" s="568"/>
      <c r="H798" s="882" t="s">
        <v>12</v>
      </c>
      <c r="I798" s="879"/>
      <c r="J798" s="879"/>
      <c r="K798" s="88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883"/>
      <c r="I799" s="879"/>
      <c r="J799" s="879"/>
      <c r="K799" s="880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85"/>
      <c r="C800" s="585"/>
      <c r="D800" s="585"/>
      <c r="E800" s="593"/>
      <c r="F800" s="593" t="s">
        <v>320</v>
      </c>
      <c r="G800" s="729"/>
      <c r="H800" s="884" t="s">
        <v>34</v>
      </c>
      <c r="I800" s="879"/>
      <c r="J800" s="885">
        <f ca="1">IFERROR(__xludf.DUMMYFUNCTION("IMPORTRANGE(""https://docs.google.com/spreadsheets/d/1MaWodYyGHDf7siQLGxnXhG4mBNTNIuy296niS2xXulU/edit?usp=sharing"",""RTK!H26"")"),32)</f>
        <v>32</v>
      </c>
      <c r="K800" s="876"/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85"/>
      <c r="C801" s="585"/>
      <c r="D801" s="585"/>
      <c r="E801" s="593"/>
      <c r="F801" s="593"/>
      <c r="G801" s="729"/>
      <c r="H801" s="878" t="s">
        <v>46</v>
      </c>
      <c r="I801" s="885">
        <f ca="1">IFERROR(__xludf.DUMMYFUNCTION("IMPORTRANGE(""https://docs.google.com/spreadsheets/d/1MaWodYyGHDf7siQLGxnXhG4mBNTNIuy296niS2xXulU/edit?usp=sharing"",""RTK!G26"")"),3000)</f>
        <v>3000</v>
      </c>
      <c r="J801" s="886">
        <f ca="1">IFERROR(__xludf.DUMMYFUNCTION("IMPORTRANGE(""https://docs.google.com/spreadsheets/d/1MaWodYyGHDf7siQLGxnXhG4mBNTNIuy296niS2xXulU/edit?usp=sharing"",""RTK!I26"")"),348)</f>
        <v>348</v>
      </c>
      <c r="K801" s="887">
        <f ca="1">IF(I801&gt;0,J801*100/I801,0)</f>
        <v>11.6</v>
      </c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579"/>
      <c r="B802" s="581"/>
      <c r="C802" s="581"/>
      <c r="D802" s="581"/>
      <c r="E802" s="687"/>
      <c r="F802" s="783" t="s">
        <v>321</v>
      </c>
      <c r="G802" s="582"/>
      <c r="H802" s="884" t="s">
        <v>34</v>
      </c>
      <c r="I802" s="879"/>
      <c r="J802" s="885">
        <f ca="1">IFERROR(__xludf.DUMMYFUNCTION("IMPORTRANGE(""https://docs.google.com/spreadsheets/d/1MaWodYyGHDf7siQLGxnXhG4mBNTNIuy296niS2xXulU/edit?usp=sharing"",""RTK!L26"")"),0)</f>
        <v>0</v>
      </c>
      <c r="K802" s="876"/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>
      <c r="A803" s="579"/>
      <c r="B803" s="581"/>
      <c r="C803" s="581"/>
      <c r="D803" s="581"/>
      <c r="E803" s="687"/>
      <c r="F803" s="687"/>
      <c r="G803" s="582"/>
      <c r="H803" s="884" t="s">
        <v>46</v>
      </c>
      <c r="I803" s="885">
        <f ca="1">IFERROR(__xludf.DUMMYFUNCTION("IMPORTRANGE(""https://docs.google.com/spreadsheets/d/1MaWodYyGHDf7siQLGxnXhG4mBNTNIuy296niS2xXulU/edit?usp=sharing"",""RTK!K26"")"),0)</f>
        <v>0</v>
      </c>
      <c r="J803" s="886">
        <f ca="1">IFERROR(__xludf.DUMMYFUNCTION("IMPORTRANGE(""https://docs.google.com/spreadsheets/d/1MaWodYyGHDf7siQLGxnXhG4mBNTNIuy296niS2xXulU/edit?usp=sharing"",""RTK!M26"")"),0)</f>
        <v>0</v>
      </c>
      <c r="K803" s="887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 t="shared" si="327"/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8">L806+L807</f>
        <v>0</v>
      </c>
      <c r="M805" s="614">
        <f t="shared" si="328"/>
        <v>0</v>
      </c>
      <c r="N805" s="614">
        <f t="shared" si="328"/>
        <v>0</v>
      </c>
      <c r="O805" s="614">
        <f t="shared" ref="O805:O810" si="329">IF(L805&gt;0,N805*100/L805,0)</f>
        <v>0</v>
      </c>
      <c r="P805" s="614">
        <f t="shared" ref="P805:P810" si="330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2">L809+L810</f>
        <v>0</v>
      </c>
      <c r="M808" s="614">
        <f t="shared" si="332"/>
        <v>0</v>
      </c>
      <c r="N808" s="614">
        <f t="shared" si="332"/>
        <v>0</v>
      </c>
      <c r="O808" s="614">
        <f t="shared" si="329"/>
        <v>0</v>
      </c>
      <c r="P808" s="614">
        <f t="shared" si="330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3">L816+L817</f>
        <v>0</v>
      </c>
      <c r="M815" s="614">
        <f t="shared" si="333"/>
        <v>0</v>
      </c>
      <c r="N815" s="614">
        <f t="shared" si="333"/>
        <v>0</v>
      </c>
      <c r="O815" s="614">
        <f t="shared" ref="O815:O817" si="334">IF(L815&gt;0,N815*100/L815,0)</f>
        <v>0</v>
      </c>
      <c r="P815" s="614">
        <f t="shared" ref="P815:P817" si="335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55" t="s">
        <v>332</v>
      </c>
      <c r="B820" s="856"/>
      <c r="C820" s="856"/>
      <c r="D820" s="857"/>
      <c r="E820" s="856"/>
      <c r="F820" s="856"/>
      <c r="G820" s="858"/>
      <c r="H820" s="8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60"/>
      <c r="J820" s="860"/>
      <c r="K820" s="861"/>
      <c r="L820" s="861"/>
      <c r="M820" s="861"/>
      <c r="N820" s="861"/>
      <c r="O820" s="861"/>
      <c r="P820" s="86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IFERROR(__xludf.DUMMYFUNCTION("IMPORTRANGE(""https://docs.google.com/spreadsheets/d/19vJNZY_5yjcGF2XGBMNZRCAIB0Kwfpjp8YEOfu-bneM/edit?usp=sharing"",""งานกองทุน!D26"")"),6943900.22)</f>
        <v>6943900.2199999997</v>
      </c>
      <c r="J821" s="270">
        <f ca="1">IFERROR(__xludf.DUMMYFUNCTION("IMPORTRANGE(""https://docs.google.com/spreadsheets/d/19vJNZY_5yjcGF2XGBMNZRCAIB0Kwfpjp8YEOfu-bneM/edit?usp=sharing"",""งานกองทุน!F26"")"),2905779.47)</f>
        <v>2905779.47</v>
      </c>
      <c r="K821" s="466">
        <f t="shared" ref="K821:K828" ca="1" si="336">IF(I821&gt;0,J821*100/I821,0)</f>
        <v>41.846503808201327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IFERROR(__xludf.DUMMYFUNCTION("IMPORTRANGE(""https://docs.google.com/spreadsheets/d/19vJNZY_5yjcGF2XGBMNZRCAIB0Kwfpjp8YEOfu-bneM/edit?usp=sharing"",""งานกองทุน!C26"")"),290)</f>
        <v>290</v>
      </c>
      <c r="J822" s="270">
        <f ca="1">IFERROR(__xludf.DUMMYFUNCTION("IMPORTRANGE(""https://docs.google.com/spreadsheets/d/19vJNZY_5yjcGF2XGBMNZRCAIB0Kwfpjp8YEOfu-bneM/edit?usp=sharing"",""งานกองทุน!E26"")"),123)</f>
        <v>123</v>
      </c>
      <c r="K822" s="466">
        <f t="shared" ca="1" si="336"/>
        <v>42.413793103448278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IFERROR(__xludf.DUMMYFUNCTION("IMPORTRANGE(""https://docs.google.com/spreadsheets/d/19vJNZY_5yjcGF2XGBMNZRCAIB0Kwfpjp8YEOfu-bneM/edit?usp=sharing"",""งานกองทุน!I26"")"),159680)</f>
        <v>159680</v>
      </c>
      <c r="J823" s="270">
        <f ca="1">IFERROR(__xludf.DUMMYFUNCTION("IMPORTRANGE(""https://docs.google.com/spreadsheets/d/19vJNZY_5yjcGF2XGBMNZRCAIB0Kwfpjp8YEOfu-bneM/edit?usp=sharing"",""งานกองทุน!K26"")"),159680)</f>
        <v>159680</v>
      </c>
      <c r="K823" s="466">
        <f t="shared" ca="1" si="336"/>
        <v>100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IFERROR(__xludf.DUMMYFUNCTION("IMPORTRANGE(""https://docs.google.com/spreadsheets/d/19vJNZY_5yjcGF2XGBMNZRCAIB0Kwfpjp8YEOfu-bneM/edit?usp=sharing"",""งานกองทุน!H26"")"),4)</f>
        <v>4</v>
      </c>
      <c r="J824" s="270">
        <f ca="1">IFERROR(__xludf.DUMMYFUNCTION("IMPORTRANGE(""https://docs.google.com/spreadsheets/d/19vJNZY_5yjcGF2XGBMNZRCAIB0Kwfpjp8YEOfu-bneM/edit?usp=sharing"",""งานกองทุน!J26"")"),4)</f>
        <v>4</v>
      </c>
      <c r="K824" s="466">
        <f t="shared" ca="1" si="336"/>
        <v>100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IFERROR(__xludf.DUMMYFUNCTION("IMPORTRANGE(""https://docs.google.com/spreadsheets/d/19vJNZY_5yjcGF2XGBMNZRCAIB0Kwfpjp8YEOfu-bneM/edit?usp=sharing"",""งานกองทุน!N26"")"),0)</f>
        <v>0</v>
      </c>
      <c r="J825" s="270">
        <f ca="1">IFERROR(__xludf.DUMMYFUNCTION("IMPORTRANGE(""https://docs.google.com/spreadsheets/d/19vJNZY_5yjcGF2XGBMNZRCAIB0Kwfpjp8YEOfu-bneM/edit?usp=sharing"",""งานกองทุน!P26"")"),0)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IFERROR(__xludf.DUMMYFUNCTION("IMPORTRANGE(""https://docs.google.com/spreadsheets/d/19vJNZY_5yjcGF2XGBMNZRCAIB0Kwfpjp8YEOfu-bneM/edit?usp=sharing"",""งานกองทุน!M26"")"),0)</f>
        <v>0</v>
      </c>
      <c r="J826" s="270">
        <f ca="1">IFERROR(__xludf.DUMMYFUNCTION("IMPORTRANGE(""https://docs.google.com/spreadsheets/d/19vJNZY_5yjcGF2XGBMNZRCAIB0Kwfpjp8YEOfu-bneM/edit?usp=sharing"",""งานกองทุน!O26"")"),0)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IFERROR(__xludf.DUMMYFUNCTION("IMPORTRANGE(""https://docs.google.com/spreadsheets/d/19vJNZY_5yjcGF2XGBMNZRCAIB0Kwfpjp8YEOfu-bneM/edit?usp=sharing"",""งานกองทุน!S26"")"),7945000)</f>
        <v>7945000</v>
      </c>
      <c r="J827" s="270">
        <f ca="1">IFERROR(__xludf.DUMMYFUNCTION("IMPORTRANGE(""https://docs.google.com/spreadsheets/d/19vJNZY_5yjcGF2XGBMNZRCAIB0Kwfpjp8YEOfu-bneM/edit?usp=sharing"",""งานกองทุน!U26"")"),2415000)</f>
        <v>2415000</v>
      </c>
      <c r="K827" s="466">
        <f t="shared" ca="1" si="336"/>
        <v>30.396475770925111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IFERROR(__xludf.DUMMYFUNCTION("IMPORTRANGE(""https://docs.google.com/spreadsheets/d/19vJNZY_5yjcGF2XGBMNZRCAIB0Kwfpjp8YEOfu-bneM/edit?usp=sharing"",""งานกองทุน!R26"")"),199)</f>
        <v>199</v>
      </c>
      <c r="J828" s="469">
        <f ca="1">IFERROR(__xludf.DUMMYFUNCTION("IMPORTRANGE(""https://docs.google.com/spreadsheets/d/19vJNZY_5yjcGF2XGBMNZRCAIB0Kwfpjp8YEOfu-bneM/edit?usp=sharing"",""งานกองทุน!T26"")"),72)</f>
        <v>72</v>
      </c>
      <c r="K828" s="470">
        <f t="shared" ca="1" si="336"/>
        <v>36.180904522613062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43637-D911-460E-9354-39188E3BA3B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4" customWidth="1"/>
    <col min="4" max="6" width="5.85546875" style="804" customWidth="1"/>
    <col min="7" max="7" width="56.42578125" style="804" customWidth="1"/>
    <col min="8" max="8" width="9.42578125" style="804" customWidth="1"/>
    <col min="9" max="10" width="16.85546875" style="804" bestFit="1" customWidth="1"/>
    <col min="11" max="11" width="12.5703125" style="804" customWidth="1"/>
    <col min="12" max="13" width="20.28515625" style="804" bestFit="1" customWidth="1"/>
    <col min="14" max="14" width="21.28515625" style="804" bestFit="1" customWidth="1"/>
    <col min="15" max="16" width="17.5703125" style="804" customWidth="1"/>
    <col min="17" max="16384" width="12.5703125" style="804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350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5285949</v>
      </c>
      <c r="M8" s="22">
        <f t="shared" ca="1" si="0"/>
        <v>3156276</v>
      </c>
      <c r="N8" s="22">
        <f t="shared" ca="1" si="0"/>
        <v>2061044.2400000002</v>
      </c>
      <c r="O8" s="22">
        <f t="shared" ref="O8:O16" ca="1" si="1">IF(L8&gt;0,N8*100/L8,0)</f>
        <v>38.990997453815773</v>
      </c>
      <c r="P8" s="22">
        <f t="shared" ref="P8:P16" ca="1" si="2">IF(M8&gt;0,N8*100/M8,0)</f>
        <v>65.299873648565594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5285949</v>
      </c>
      <c r="M10" s="30">
        <f t="shared" ca="1" si="3"/>
        <v>3156276</v>
      </c>
      <c r="N10" s="30">
        <f t="shared" ca="1" si="3"/>
        <v>2061044.2400000002</v>
      </c>
      <c r="O10" s="30">
        <f t="shared" ca="1" si="1"/>
        <v>38.990997453815773</v>
      </c>
      <c r="P10" s="30">
        <f t="shared" ca="1" si="2"/>
        <v>65.299873648565594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5204149</v>
      </c>
      <c r="M11" s="466">
        <f t="shared" ca="1" si="4"/>
        <v>3076276</v>
      </c>
      <c r="N11" s="466">
        <f t="shared" ca="1" si="4"/>
        <v>1981044.2400000002</v>
      </c>
      <c r="O11" s="466">
        <f t="shared" ca="1" si="1"/>
        <v>38.066631835483577</v>
      </c>
      <c r="P11" s="466">
        <f t="shared" ca="1" si="2"/>
        <v>64.397480590168115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5204149</v>
      </c>
      <c r="M13" s="93">
        <f t="shared" ca="1" si="5"/>
        <v>3076276</v>
      </c>
      <c r="N13" s="93">
        <f t="shared" ca="1" si="5"/>
        <v>1981044.2400000002</v>
      </c>
      <c r="O13" s="93">
        <f t="shared" ca="1" si="1"/>
        <v>38.066631835483577</v>
      </c>
      <c r="P13" s="93">
        <f t="shared" ca="1" si="2"/>
        <v>64.397480590168115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81800</v>
      </c>
      <c r="M14" s="466">
        <f t="shared" ca="1" si="6"/>
        <v>80000</v>
      </c>
      <c r="N14" s="466">
        <f t="shared" ca="1" si="6"/>
        <v>80000</v>
      </c>
      <c r="O14" s="466">
        <f t="shared" ca="1" si="1"/>
        <v>97.799511002444987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81800</v>
      </c>
      <c r="M16" s="52">
        <f t="shared" ca="1" si="7"/>
        <v>80000</v>
      </c>
      <c r="N16" s="52">
        <f t="shared" ca="1" si="7"/>
        <v>80000</v>
      </c>
      <c r="O16" s="52">
        <f t="shared" ca="1" si="1"/>
        <v>97.799511002444987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3963020</v>
      </c>
      <c r="M18" s="22">
        <f t="shared" ca="1" si="8"/>
        <v>3156276</v>
      </c>
      <c r="N18" s="22">
        <f t="shared" ca="1" si="8"/>
        <v>1654933.2400000002</v>
      </c>
      <c r="O18" s="22">
        <f t="shared" ref="O18:O26" ca="1" si="9">IF(L18&gt;0,N18*100/L18,0)</f>
        <v>41.759396621768254</v>
      </c>
      <c r="P18" s="22">
        <f t="shared" ref="P18:P26" ca="1" si="10">IF(M18&gt;0,N18*100/M18,0)</f>
        <v>52.433096471918184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3963020</v>
      </c>
      <c r="M20" s="30">
        <f t="shared" ca="1" si="11"/>
        <v>3156276</v>
      </c>
      <c r="N20" s="30">
        <f t="shared" ca="1" si="11"/>
        <v>1654933.2400000002</v>
      </c>
      <c r="O20" s="30">
        <f t="shared" ca="1" si="9"/>
        <v>41.759396621768254</v>
      </c>
      <c r="P20" s="30">
        <f t="shared" ca="1" si="10"/>
        <v>52.433096471918184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3881220</v>
      </c>
      <c r="M21" s="466">
        <f t="shared" ca="1" si="12"/>
        <v>3076276</v>
      </c>
      <c r="N21" s="466">
        <f t="shared" ca="1" si="12"/>
        <v>1574933.2400000002</v>
      </c>
      <c r="O21" s="466">
        <f t="shared" ca="1" si="9"/>
        <v>40.578303729239785</v>
      </c>
      <c r="P21" s="466">
        <f t="shared" ca="1" si="10"/>
        <v>51.196096839165286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3881220</v>
      </c>
      <c r="M23" s="93">
        <f t="shared" ca="1" si="13"/>
        <v>3076276</v>
      </c>
      <c r="N23" s="93">
        <f t="shared" ca="1" si="13"/>
        <v>1574933.2400000002</v>
      </c>
      <c r="O23" s="93">
        <f t="shared" ca="1" si="9"/>
        <v>40.578303729239785</v>
      </c>
      <c r="P23" s="93">
        <f t="shared" ca="1" si="10"/>
        <v>51.196096839165286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81800</v>
      </c>
      <c r="M24" s="466">
        <f t="shared" ca="1" si="14"/>
        <v>80000</v>
      </c>
      <c r="N24" s="466">
        <f t="shared" ca="1" si="14"/>
        <v>80000</v>
      </c>
      <c r="O24" s="466">
        <f t="shared" ca="1" si="9"/>
        <v>97.799511002444987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81800</v>
      </c>
      <c r="M26" s="52">
        <f t="shared" ca="1" si="15"/>
        <v>80000</v>
      </c>
      <c r="N26" s="52">
        <f t="shared" ca="1" si="15"/>
        <v>80000</v>
      </c>
      <c r="O26" s="52">
        <f t="shared" ca="1" si="9"/>
        <v>97.799511002444987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1322929</v>
      </c>
      <c r="M28" s="22">
        <f t="shared" si="16"/>
        <v>0</v>
      </c>
      <c r="N28" s="22">
        <f t="shared" si="16"/>
        <v>406111</v>
      </c>
      <c r="O28" s="22">
        <f t="shared" ref="O28:O37" ca="1" si="17">IF(L28&gt;0,N28*100/L28,0)</f>
        <v>30.697868139560022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1322929</v>
      </c>
      <c r="M30" s="30">
        <f t="shared" si="19"/>
        <v>0</v>
      </c>
      <c r="N30" s="30">
        <f t="shared" si="19"/>
        <v>406111</v>
      </c>
      <c r="O30" s="30">
        <f t="shared" ca="1" si="17"/>
        <v>30.697868139560022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1322929</v>
      </c>
      <c r="M31" s="466">
        <f t="shared" si="20"/>
        <v>0</v>
      </c>
      <c r="N31" s="466">
        <f t="shared" si="20"/>
        <v>406111</v>
      </c>
      <c r="O31" s="466">
        <f t="shared" ca="1" si="17"/>
        <v>30.697868139560022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1322929</v>
      </c>
      <c r="M33" s="93">
        <f t="shared" si="21"/>
        <v>0</v>
      </c>
      <c r="N33" s="93">
        <f t="shared" si="21"/>
        <v>406111</v>
      </c>
      <c r="O33" s="93">
        <f t="shared" ca="1" si="17"/>
        <v>30.697868139560022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3963020</v>
      </c>
      <c r="M37" s="812">
        <f t="shared" ca="1" si="24"/>
        <v>3156276</v>
      </c>
      <c r="N37" s="812">
        <f t="shared" ca="1" si="24"/>
        <v>1654933.2400000002</v>
      </c>
      <c r="O37" s="812">
        <f t="shared" ca="1" si="17"/>
        <v>41.759396621768254</v>
      </c>
      <c r="P37" s="812">
        <f t="shared" ca="1" si="18"/>
        <v>52.433096471918184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522850</v>
      </c>
      <c r="M41" s="85">
        <f t="shared" ca="1" si="25"/>
        <v>536451</v>
      </c>
      <c r="N41" s="85">
        <f t="shared" ca="1" si="25"/>
        <v>224177.81</v>
      </c>
      <c r="O41" s="85">
        <f t="shared" ref="O41:O49" ca="1" si="26">IF(L41&gt;0,N41*100/L41,0)</f>
        <v>42.876123171081574</v>
      </c>
      <c r="P41" s="85">
        <f t="shared" ref="P41:P49" ca="1" si="27">IF(M41&gt;0,N41*100/M41,0)</f>
        <v>41.789056223215169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522850</v>
      </c>
      <c r="M43" s="92">
        <f t="shared" ca="1" si="28"/>
        <v>536451</v>
      </c>
      <c r="N43" s="92">
        <f t="shared" ca="1" si="28"/>
        <v>224177.81</v>
      </c>
      <c r="O43" s="92">
        <f t="shared" ca="1" si="26"/>
        <v>42.876123171081574</v>
      </c>
      <c r="P43" s="92">
        <f t="shared" ca="1" si="27"/>
        <v>41.789056223215169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522850</v>
      </c>
      <c r="M44" s="466">
        <f t="shared" ca="1" si="29"/>
        <v>536451</v>
      </c>
      <c r="N44" s="466">
        <f t="shared" ca="1" si="29"/>
        <v>224177.81</v>
      </c>
      <c r="O44" s="466">
        <f t="shared" ca="1" si="26"/>
        <v>42.876123171081574</v>
      </c>
      <c r="P44" s="466">
        <f t="shared" ca="1" si="27"/>
        <v>41.789056223215169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IFERROR(__xludf.DUMMYFUNCTION("IMPORTRANGE(""https://docs.google.com/spreadsheets/d/1MeEWN-I1oV_STSDYn1IFDPWt_1FKiwhDph83XaGc0o0/edit?usp=sharing"",""งบพรบ!M27"")"),522850)</f>
        <v>522850</v>
      </c>
      <c r="M46" s="93">
        <f ca="1">IFERROR(__xludf.DUMMYFUNCTION("IMPORTRANGE(""https://docs.google.com/spreadsheets/d/1MeEWN-I1oV_STSDYn1IFDPWt_1FKiwhDph83XaGc0o0/edit?usp=sharing"",""งบพรบ!R27"")"),536451)</f>
        <v>536451</v>
      </c>
      <c r="N46" s="93">
        <f ca="1">IFERROR(__xludf.DUMMYFUNCTION("IMPORTRANGE(""https://docs.google.com/spreadsheets/d/1MeEWN-I1oV_STSDYn1IFDPWt_1FKiwhDph83XaGc0o0/edit?usp=sharing"",""งบพรบ!T27"")"),224177.81)</f>
        <v>224177.81</v>
      </c>
      <c r="O46" s="93">
        <f t="shared" ca="1" si="26"/>
        <v>42.876123171081574</v>
      </c>
      <c r="P46" s="93">
        <f t="shared" ca="1" si="27"/>
        <v>41.789056223215169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IFERROR(__xludf.DUMMYFUNCTION("IMPORTRANGE(""https://docs.google.com/spreadsheets/d/1MeEWN-I1oV_STSDYn1IFDPWt_1FKiwhDph83XaGc0o0/edit?usp=sharing"",""งบพรบ!P27"")"),0)</f>
        <v>0</v>
      </c>
      <c r="M49" s="52">
        <f ca="1">IFERROR(__xludf.DUMMYFUNCTION("IMPORTRANGE(""https://docs.google.com/spreadsheets/d/1MeEWN-I1oV_STSDYn1IFDPWt_1FKiwhDph83XaGc0o0/edit?usp=sharing"",""งบพรบ!S27"")"),0)</f>
        <v>0</v>
      </c>
      <c r="N49" s="52">
        <f ca="1">IFERROR(__xludf.DUMMYFUNCTION("IMPORTRANGE(""https://docs.google.com/spreadsheets/d/1MeEWN-I1oV_STSDYn1IFDPWt_1FKiwhDph83XaGc0o0/edit?usp=sharing"",""งบพรบ!U27"")"),0)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865100</v>
      </c>
      <c r="M53" s="116">
        <f t="shared" ca="1" si="31"/>
        <v>667475</v>
      </c>
      <c r="N53" s="116">
        <f t="shared" ca="1" si="31"/>
        <v>556441.67999999993</v>
      </c>
      <c r="O53" s="116">
        <f t="shared" ref="O53:O61" ca="1" si="32">IF(L53&gt;0,N53*100/L53,0)</f>
        <v>64.321081955843241</v>
      </c>
      <c r="P53" s="116">
        <f t="shared" ref="P53:P61" ca="1" si="33">IF(M53&gt;0,N53*100/M53,0)</f>
        <v>83.365171729278245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865100</v>
      </c>
      <c r="M55" s="123">
        <f t="shared" ca="1" si="34"/>
        <v>667475</v>
      </c>
      <c r="N55" s="123">
        <f t="shared" ca="1" si="34"/>
        <v>556441.67999999993</v>
      </c>
      <c r="O55" s="123">
        <f t="shared" ca="1" si="32"/>
        <v>64.321081955843241</v>
      </c>
      <c r="P55" s="123">
        <f t="shared" ca="1" si="33"/>
        <v>83.365171729278245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783300</v>
      </c>
      <c r="M56" s="466">
        <f t="shared" ca="1" si="35"/>
        <v>587475</v>
      </c>
      <c r="N56" s="466">
        <f t="shared" ca="1" si="35"/>
        <v>476441.68</v>
      </c>
      <c r="O56" s="466">
        <f t="shared" ca="1" si="32"/>
        <v>60.824930422571171</v>
      </c>
      <c r="P56" s="466">
        <f t="shared" ca="1" si="33"/>
        <v>81.0999072300949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IFERROR(__xludf.DUMMYFUNCTION("IMPORTRANGE(""https://docs.google.com/spreadsheets/d/1MeEWN-I1oV_STSDYn1IFDPWt_1FKiwhDph83XaGc0o0/edit?usp=sharing"",""งบพรบ!W27"")"),783300)</f>
        <v>783300</v>
      </c>
      <c r="M58" s="93">
        <f ca="1">IFERROR(__xludf.DUMMYFUNCTION("IMPORTRANGE(""https://docs.google.com/spreadsheets/d/1MeEWN-I1oV_STSDYn1IFDPWt_1FKiwhDph83XaGc0o0/edit?usp=sharing"",""งบพรบ!AB27"")"),587475)</f>
        <v>587475</v>
      </c>
      <c r="N58" s="93">
        <f ca="1">IFERROR(__xludf.DUMMYFUNCTION("IMPORTRANGE(""https://docs.google.com/spreadsheets/d/1MeEWN-I1oV_STSDYn1IFDPWt_1FKiwhDph83XaGc0o0/edit?usp=sharing"",""งบพรบ!AD27"")"),476441.68)</f>
        <v>476441.68</v>
      </c>
      <c r="O58" s="93">
        <f t="shared" ca="1" si="32"/>
        <v>60.824930422571171</v>
      </c>
      <c r="P58" s="93">
        <f t="shared" ca="1" si="33"/>
        <v>81.0999072300949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81800</v>
      </c>
      <c r="M59" s="466">
        <f t="shared" ca="1" si="36"/>
        <v>80000</v>
      </c>
      <c r="N59" s="466">
        <f t="shared" ca="1" si="36"/>
        <v>80000</v>
      </c>
      <c r="O59" s="466">
        <f t="shared" ca="1" si="32"/>
        <v>97.799511002444987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IFERROR(__xludf.DUMMYFUNCTION("IMPORTRANGE(""https://docs.google.com/spreadsheets/d/1MeEWN-I1oV_STSDYn1IFDPWt_1FKiwhDph83XaGc0o0/edit?usp=sharing"",""งบพรบ!Z27"")"),81800)</f>
        <v>81800</v>
      </c>
      <c r="M61" s="52">
        <f ca="1">IFERROR(__xludf.DUMMYFUNCTION("IMPORTRANGE(""https://docs.google.com/spreadsheets/d/1MeEWN-I1oV_STSDYn1IFDPWt_1FKiwhDph83XaGc0o0/edit?usp=sharing"",""งบพรบ!AC27"")"),80000)</f>
        <v>80000</v>
      </c>
      <c r="N61" s="52">
        <f ca="1">IFERROR(__xludf.DUMMYFUNCTION("IMPORTRANGE(""https://docs.google.com/spreadsheets/d/1MeEWN-I1oV_STSDYn1IFDPWt_1FKiwhDph83XaGc0o0/edit?usp=sharing"",""งบพรบ!AE27"")"),80000)</f>
        <v>80000</v>
      </c>
      <c r="O61" s="52">
        <f t="shared" ca="1" si="32"/>
        <v>97.799511002444987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919600</v>
      </c>
      <c r="M66" s="155">
        <f t="shared" ca="1" si="39"/>
        <v>680700</v>
      </c>
      <c r="N66" s="155">
        <f t="shared" ca="1" si="39"/>
        <v>344575.43</v>
      </c>
      <c r="O66" s="155">
        <f t="shared" ref="O66:O74" ca="1" si="40">IF(L66&gt;0,N66*100/L66,0)</f>
        <v>37.470142453240541</v>
      </c>
      <c r="P66" s="155">
        <f t="shared" ref="P66:P74" ca="1" si="41">IF(M66&gt;0,N66*100/M66,0)</f>
        <v>50.620747759659174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919600</v>
      </c>
      <c r="M68" s="93">
        <f t="shared" ca="1" si="42"/>
        <v>680700</v>
      </c>
      <c r="N68" s="93">
        <f t="shared" ca="1" si="42"/>
        <v>344575.43</v>
      </c>
      <c r="O68" s="93">
        <f t="shared" ca="1" si="40"/>
        <v>37.470142453240541</v>
      </c>
      <c r="P68" s="93">
        <f t="shared" ca="1" si="41"/>
        <v>50.620747759659174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919600</v>
      </c>
      <c r="M69" s="466">
        <f t="shared" ca="1" si="43"/>
        <v>680700</v>
      </c>
      <c r="N69" s="466">
        <f t="shared" ca="1" si="43"/>
        <v>344575.43</v>
      </c>
      <c r="O69" s="466">
        <f t="shared" ca="1" si="40"/>
        <v>37.470142453240541</v>
      </c>
      <c r="P69" s="466">
        <f t="shared" ca="1" si="41"/>
        <v>50.620747759659174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IFERROR(__xludf.DUMMYFUNCTION("IMPORTRANGE(""https://docs.google.com/spreadsheets/d/1MeEWN-I1oV_STSDYn1IFDPWt_1FKiwhDph83XaGc0o0/edit?usp=sharing"",""งบพรบ!AG27"")"),919600)</f>
        <v>919600</v>
      </c>
      <c r="M71" s="93">
        <f ca="1">IFERROR(__xludf.DUMMYFUNCTION("IMPORTRANGE(""https://docs.google.com/spreadsheets/d/1MeEWN-I1oV_STSDYn1IFDPWt_1FKiwhDph83XaGc0o0/edit?usp=sharing"",""งบพรบ!AL27"")"),680700)</f>
        <v>680700</v>
      </c>
      <c r="N71" s="93">
        <f ca="1">IFERROR(__xludf.DUMMYFUNCTION("IMPORTRANGE(""https://docs.google.com/spreadsheets/d/1MeEWN-I1oV_STSDYn1IFDPWt_1FKiwhDph83XaGc0o0/edit?usp=sharing"",""งบพรบ!AN27"")"),344575.43)</f>
        <v>344575.43</v>
      </c>
      <c r="O71" s="93">
        <f t="shared" ca="1" si="40"/>
        <v>37.470142453240541</v>
      </c>
      <c r="P71" s="93">
        <f t="shared" ca="1" si="41"/>
        <v>50.620747759659174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IFERROR(__xludf.DUMMYFUNCTION("IMPORTRANGE(""https://docs.google.com/spreadsheets/d/1MeEWN-I1oV_STSDYn1IFDPWt_1FKiwhDph83XaGc0o0/edit?usp=sharing"",""งบพรบ!AJ27"")"),0)</f>
        <v>0</v>
      </c>
      <c r="M74" s="93">
        <f ca="1">IFERROR(__xludf.DUMMYFUNCTION("IMPORTRANGE(""https://docs.google.com/spreadsheets/d/1MeEWN-I1oV_STSDYn1IFDPWt_1FKiwhDph83XaGc0o0/edit?usp=sharing"",""งบพรบ!AM27"")"),0)</f>
        <v>0</v>
      </c>
      <c r="N74" s="93">
        <f ca="1">IFERROR(__xludf.DUMMYFUNCTION("IMPORTRANGE(""https://docs.google.com/spreadsheets/d/1MeEWN-I1oV_STSDYn1IFDPWt_1FKiwhDph83XaGc0o0/edit?usp=sharing"",""งบพรบ!AO27"")"),0)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IFERROR(__xludf.DUMMYFUNCTION("IMPORTRANGE(""https://docs.google.com/spreadsheets/d/1QqKyyYR6Q21VydFLVH3TRQUabQu_ym0Zz7PgGX0-kHA/edit?usp=sharing"",""แผน!H27"")"),0)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IFERROR(__xludf.DUMMYFUNCTION("IMPORTRANGE(""https://docs.google.com/spreadsheets/d/1QqKyyYR6Q21VydFLVH3TRQUabQu_ym0Zz7PgGX0-kHA/edit?usp=sharing"",""แผน!I27"")"),0)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IFERROR(__xludf.DUMMYFUNCTION("IMPORTRANGE(""https://docs.google.com/spreadsheets/d/1QqKyyYR6Q21VydFLVH3TRQUabQu_ym0Zz7PgGX0-kHA/edit?usp=sharing"",""แผน!F27"")"),1)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IFERROR(__xludf.DUMMYFUNCTION("IMPORTRANGE(""https://docs.google.com/spreadsheets/d/1QqKyyYR6Q21VydFLVH3TRQUabQu_ym0Zz7PgGX0-kHA/edit?usp=sharing"",""แผน!G27"")"),35)</f>
        <v>35</v>
      </c>
      <c r="J81" s="215">
        <v>35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IFERROR(__xludf.DUMMYFUNCTION("IMPORTRANGE(""https://docs.google.com/spreadsheets/d/1QqKyyYR6Q21VydFLVH3TRQUabQu_ym0Zz7PgGX0-kHA/edit?usp=sharing"",""แผน!D27"")"),0)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IFERROR(__xludf.DUMMYFUNCTION("IMPORTRANGE(""https://docs.google.com/spreadsheets/d/1QqKyyYR6Q21VydFLVH3TRQUabQu_ym0Zz7PgGX0-kHA/edit?usp=sharing"",""แผน!E27"")"),0)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IFERROR(__xludf.DUMMYFUNCTION("IMPORTRANGE(""https://docs.google.com/spreadsheets/d/1QqKyyYR6Q21VydFLVH3TRQUabQu_ym0Zz7PgGX0-kHA/edit?usp=sharing"",""แผน!J27"")"),1)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116140</v>
      </c>
      <c r="M88" s="155">
        <f t="shared" ca="1" si="49"/>
        <v>107590</v>
      </c>
      <c r="N88" s="155">
        <f t="shared" ca="1" si="49"/>
        <v>27594.87</v>
      </c>
      <c r="O88" s="155">
        <f t="shared" ref="O88:O96" ca="1" si="50">IF(L88&gt;0,N88*100/L88,0)</f>
        <v>23.76000516617875</v>
      </c>
      <c r="P88" s="155">
        <f t="shared" ref="P88:P96" ca="1" si="51">IF(M88&gt;0,N88*100/M88,0)</f>
        <v>25.648173622083839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116140</v>
      </c>
      <c r="M90" s="93">
        <f t="shared" ca="1" si="52"/>
        <v>107590</v>
      </c>
      <c r="N90" s="93">
        <f t="shared" ca="1" si="52"/>
        <v>27594.87</v>
      </c>
      <c r="O90" s="93">
        <f t="shared" ca="1" si="50"/>
        <v>23.76000516617875</v>
      </c>
      <c r="P90" s="93">
        <f t="shared" ca="1" si="51"/>
        <v>25.648173622083839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116140</v>
      </c>
      <c r="M91" s="466">
        <f t="shared" ca="1" si="53"/>
        <v>107590</v>
      </c>
      <c r="N91" s="466">
        <f t="shared" ca="1" si="53"/>
        <v>27594.87</v>
      </c>
      <c r="O91" s="466">
        <f t="shared" ca="1" si="50"/>
        <v>23.76000516617875</v>
      </c>
      <c r="P91" s="466">
        <f t="shared" ca="1" si="51"/>
        <v>25.648173622083839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IFERROR(__xludf.DUMMYFUNCTION("IMPORTRANGE(""https://docs.google.com/spreadsheets/d/1MeEWN-I1oV_STSDYn1IFDPWt_1FKiwhDph83XaGc0o0/edit?usp=sharing"",""งบพรบ!AQ27"")"),116140)</f>
        <v>116140</v>
      </c>
      <c r="M93" s="93">
        <f ca="1">IFERROR(__xludf.DUMMYFUNCTION("IMPORTRANGE(""https://docs.google.com/spreadsheets/d/1MeEWN-I1oV_STSDYn1IFDPWt_1FKiwhDph83XaGc0o0/edit?usp=sharing"",""งบพรบ!AV27"")"),107590)</f>
        <v>107590</v>
      </c>
      <c r="N93" s="93">
        <f ca="1">IFERROR(__xludf.DUMMYFUNCTION("IMPORTRANGE(""https://docs.google.com/spreadsheets/d/1MeEWN-I1oV_STSDYn1IFDPWt_1FKiwhDph83XaGc0o0/edit?usp=sharing"",""งบพรบ!AX27"")"),27594.87)</f>
        <v>27594.87</v>
      </c>
      <c r="O93" s="93">
        <f t="shared" ca="1" si="50"/>
        <v>23.76000516617875</v>
      </c>
      <c r="P93" s="93">
        <f t="shared" ca="1" si="51"/>
        <v>25.648173622083839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IFERROR(__xludf.DUMMYFUNCTION("IMPORTRANGE(""https://docs.google.com/spreadsheets/d/1MeEWN-I1oV_STSDYn1IFDPWt_1FKiwhDph83XaGc0o0/edit?usp=sharing"",""งบพรบ!AT27"")"),0)</f>
        <v>0</v>
      </c>
      <c r="M96" s="93">
        <f ca="1">IFERROR(__xludf.DUMMYFUNCTION("IMPORTRANGE(""https://docs.google.com/spreadsheets/d/1MeEWN-I1oV_STSDYn1IFDPWt_1FKiwhDph83XaGc0o0/edit?usp=sharing"",""งบพรบ!AW27"")"),0)</f>
        <v>0</v>
      </c>
      <c r="N96" s="93">
        <f ca="1">IFERROR(__xludf.DUMMYFUNCTION("IMPORTRANGE(""https://docs.google.com/spreadsheets/d/1MeEWN-I1oV_STSDYn1IFDPWt_1FKiwhDph83XaGc0o0/edit?usp=sharing"",""งบพรบ!AY27"")"),0)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IFERROR(__xludf.DUMMYFUNCTION("IMPORTRANGE(""https://docs.google.com/spreadsheets/d/1QqKyyYR6Q21VydFLVH3TRQUabQu_ym0Zz7PgGX0-kHA/edit?usp=sharing"",""แผน!K27"")"),30)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IFERROR(__xludf.DUMMYFUNCTION("IMPORTRANGE(""https://docs.google.com/spreadsheets/d/1QqKyyYR6Q21VydFLVH3TRQUabQu_ym0Zz7PgGX0-kHA/edit?usp=sharing"",""แผน!L27"")"),10)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IFERROR(__xludf.DUMMYFUNCTION("IMPORTRANGE(""https://docs.google.com/spreadsheets/d/1QqKyyYR6Q21VydFLVH3TRQUabQu_ym0Zz7PgGX0-kHA/edit?usp=sharing"",""แผน!M27"")"),3)</f>
        <v>3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IFERROR(__xludf.DUMMYFUNCTION("IMPORTRANGE(""https://docs.google.com/spreadsheets/d/1QqKyyYR6Q21VydFLVH3TRQUabQu_ym0Zz7PgGX0-kHA/edit?usp=sharing"",""แผน!N27"")"),30)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IFERROR(__xludf.DUMMYFUNCTION("IMPORTRANGE(""https://docs.google.com/spreadsheets/d/1QqKyyYR6Q21VydFLVH3TRQUabQu_ym0Zz7PgGX0-kHA/edit?usp=sharing"",""แผน!O27"")"),10)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IFERROR(__xludf.DUMMYFUNCTION("IMPORTRANGE(""https://docs.google.com/spreadsheets/d/1QqKyyYR6Q21VydFLVH3TRQUabQu_ym0Zz7PgGX0-kHA/edit?usp=sharing"",""แผน!O27"")"),10)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IFERROR(__xludf.DUMMYFUNCTION("IMPORTRANGE(""https://docs.google.com/spreadsheets/d/1QqKyyYR6Q21VydFLVH3TRQUabQu_ym0Zz7PgGX0-kHA/edit?usp=sharing"",""แผน!P27"")"),1)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IFERROR(__xludf.DUMMYFUNCTION("IMPORTRANGE(""https://docs.google.com/spreadsheets/d/1QqKyyYR6Q21VydFLVH3TRQUabQu_ym0Zz7PgGX0-kHA/edit?usp=sharing"",""แผน!P27"")"),1)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IFERROR(__xludf.DUMMYFUNCTION("IMPORTRANGE(""https://docs.google.com/spreadsheets/d/1QqKyyYR6Q21VydFLVH3TRQUabQu_ym0Zz7PgGX0-kHA/edit?usp=sharing"",""แผน!Q27"")"),2)</f>
        <v>2</v>
      </c>
      <c r="J109" s="215">
        <v>2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IFERROR(__xludf.DUMMYFUNCTION("IMPORTRANGE(""https://docs.google.com/spreadsheets/d/1QqKyyYR6Q21VydFLVH3TRQUabQu_ym0Zz7PgGX0-kHA/edit?usp=sharing"",""แผน!Q27"")"),2)</f>
        <v>2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IFERROR(__xludf.DUMMYFUNCTION("IMPORTRANGE(""https://docs.google.com/spreadsheets/d/1QqKyyYR6Q21VydFLVH3TRQUabQu_ym0Zz7PgGX0-kHA/edit?usp=sharing"",""แผน!R27"")"),10)</f>
        <v>10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3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IFERROR(__xludf.DUMMYFUNCTION("IMPORTRANGE(""https://docs.google.com/spreadsheets/d/1QqKyyYR6Q21VydFLVH3TRQUabQu_ym0Zz7PgGX0-kHA/edit?usp=sharing"",""แผน!R27"")"),10)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IFERROR(__xludf.DUMMYFUNCTION("IMPORTRANGE(""https://docs.google.com/spreadsheets/d/1QqKyyYR6Q21VydFLVH3TRQUabQu_ym0Zz7PgGX0-kHA/edit?usp=sharing"",""แผน!R27"")"),10)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IFERROR(__xludf.DUMMYFUNCTION("IMPORTRANGE(""https://docs.google.com/spreadsheets/d/1QqKyyYR6Q21VydFLVH3TRQUabQu_ym0Zz7PgGX0-kHA/edit?usp=sharing"",""แผน!S27"")"),1)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IFERROR(__xludf.DUMMYFUNCTION("IMPORTRANGE(""https://docs.google.com/spreadsheets/d/1QqKyyYR6Q21VydFLVH3TRQUabQu_ym0Zz7PgGX0-kHA/edit?usp=sharing"",""แผน!T27"")"),2)</f>
        <v>2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IFERROR(__xludf.DUMMYFUNCTION("IMPORTRANGE(""https://docs.google.com/spreadsheets/d/1MeEWN-I1oV_STSDYn1IFDPWt_1FKiwhDph83XaGc0o0/edit?usp=sharing"",""งบพรบ!BA27"")"),0)</f>
        <v>0</v>
      </c>
      <c r="M124" s="93">
        <f ca="1">IFERROR(__xludf.DUMMYFUNCTION("IMPORTRANGE(""https://docs.google.com/spreadsheets/d/1MeEWN-I1oV_STSDYn1IFDPWt_1FKiwhDph83XaGc0o0/edit?usp=sharing"",""งบพรบ!BF27"")"),0)</f>
        <v>0</v>
      </c>
      <c r="N124" s="93">
        <f ca="1">IFERROR(__xludf.DUMMYFUNCTION("IMPORTRANGE(""https://docs.google.com/spreadsheets/d/1MeEWN-I1oV_STSDYn1IFDPWt_1FKiwhDph83XaGc0o0/edit?usp=sharing"",""งบพรบ!BH27"")"),0)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IFERROR(__xludf.DUMMYFUNCTION("IMPORTRANGE(""https://docs.google.com/spreadsheets/d/1MeEWN-I1oV_STSDYn1IFDPWt_1FKiwhDph83XaGc0o0/edit?usp=sharing"",""งบพรบ!BD27"")"),0)</f>
        <v>0</v>
      </c>
      <c r="M127" s="93">
        <f ca="1">IFERROR(__xludf.DUMMYFUNCTION("IMPORTRANGE(""https://docs.google.com/spreadsheets/d/1MeEWN-I1oV_STSDYn1IFDPWt_1FKiwhDph83XaGc0o0/edit?usp=sharing"",""งบพรบ!BG27"")"),0)</f>
        <v>0</v>
      </c>
      <c r="N127" s="93">
        <f ca="1">IFERROR(__xludf.DUMMYFUNCTION("IMPORTRANGE(""https://docs.google.com/spreadsheets/d/1MeEWN-I1oV_STSDYn1IFDPWt_1FKiwhDph83XaGc0o0/edit?usp=sharing"",""งบพรบ!BI27"")"),0)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IFERROR(__xludf.DUMMYFUNCTION("IMPORTRANGE(""https://docs.google.com/spreadsheets/d/1MeEWN-I1oV_STSDYn1IFDPWt_1FKiwhDph83XaGc0o0/edit?usp=sharing"",""งบพรบ!BK27"")"),0)</f>
        <v>0</v>
      </c>
      <c r="M137" s="93">
        <f ca="1">IFERROR(__xludf.DUMMYFUNCTION("IMPORTRANGE(""https://docs.google.com/spreadsheets/d/1MeEWN-I1oV_STSDYn1IFDPWt_1FKiwhDph83XaGc0o0/edit?usp=sharing"",""งบพรบ!BP27"")"),0)</f>
        <v>0</v>
      </c>
      <c r="N137" s="93">
        <f ca="1">IFERROR(__xludf.DUMMYFUNCTION("IMPORTRANGE(""https://docs.google.com/spreadsheets/d/1MeEWN-I1oV_STSDYn1IFDPWt_1FKiwhDph83XaGc0o0/edit?usp=sharing"",""งบพรบ!BR27"")"),0)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IFERROR(__xludf.DUMMYFUNCTION("IMPORTRANGE(""https://docs.google.com/spreadsheets/d/1MeEWN-I1oV_STSDYn1IFDPWt_1FKiwhDph83XaGc0o0/edit?usp=sharing"",""งบพรบ!BN27"")"),0)</f>
        <v>0</v>
      </c>
      <c r="M140" s="93">
        <f ca="1">IFERROR(__xludf.DUMMYFUNCTION("IMPORTRANGE(""https://docs.google.com/spreadsheets/d/1MeEWN-I1oV_STSDYn1IFDPWt_1FKiwhDph83XaGc0o0/edit?usp=sharing"",""งบพรบ!BQ27"")"),0)</f>
        <v>0</v>
      </c>
      <c r="N140" s="93">
        <f ca="1">IFERROR(__xludf.DUMMYFUNCTION("IMPORTRANGE(""https://docs.google.com/spreadsheets/d/1MeEWN-I1oV_STSDYn1IFDPWt_1FKiwhDph83XaGc0o0/edit?usp=sharing"",""งบพรบ!BS27"")"),0)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IFERROR(__xludf.DUMMYFUNCTION("IMPORTRANGE(""https://docs.google.com/spreadsheets/d/1QqKyyYR6Q21VydFLVH3TRQUabQu_ym0Zz7PgGX0-kHA/edit?usp=sharing"",""แผน!U27"")"),0)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IFERROR(__xludf.DUMMYFUNCTION("IMPORTRANGE(""https://docs.google.com/spreadsheets/d/1QqKyyYR6Q21VydFLVH3TRQUabQu_ym0Zz7PgGX0-kHA/edit?usp=sharing"",""แผน!V27"")"),0)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IFERROR(__xludf.DUMMYFUNCTION("IMPORTRANGE(""https://docs.google.com/spreadsheets/d/1QqKyyYR6Q21VydFLVH3TRQUabQu_ym0Zz7PgGX0-kHA/edit?usp=sharing"",""แผน!W27"")"),0)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11680</v>
      </c>
      <c r="N149" s="155">
        <f t="shared" ca="1" si="77"/>
        <v>6720</v>
      </c>
      <c r="O149" s="155">
        <f t="shared" ref="O149:O157" ca="1" si="78">IF(L149&gt;0,N149*100/L149,0)</f>
        <v>67.2</v>
      </c>
      <c r="P149" s="155">
        <f t="shared" ref="P149:P157" ca="1" si="79">IF(M149&gt;0,N149*100/M149,0)</f>
        <v>57.534246575342465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11680</v>
      </c>
      <c r="N151" s="93">
        <f t="shared" ca="1" si="80"/>
        <v>6720</v>
      </c>
      <c r="O151" s="93">
        <f t="shared" ca="1" si="78"/>
        <v>67.2</v>
      </c>
      <c r="P151" s="93">
        <f t="shared" ca="1" si="79"/>
        <v>57.534246575342465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11680</v>
      </c>
      <c r="N152" s="466">
        <f t="shared" ca="1" si="81"/>
        <v>6720</v>
      </c>
      <c r="O152" s="466">
        <f t="shared" ca="1" si="78"/>
        <v>67.2</v>
      </c>
      <c r="P152" s="466">
        <f t="shared" ca="1" si="79"/>
        <v>57.534246575342465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IFERROR(__xludf.DUMMYFUNCTION("IMPORTRANGE(""https://docs.google.com/spreadsheets/d/1MeEWN-I1oV_STSDYn1IFDPWt_1FKiwhDph83XaGc0o0/edit?usp=sharing"",""งบพรบ!BU27"")"),10000)</f>
        <v>10000</v>
      </c>
      <c r="M154" s="93">
        <f ca="1">IFERROR(__xludf.DUMMYFUNCTION("IMPORTRANGE(""https://docs.google.com/spreadsheets/d/1MeEWN-I1oV_STSDYn1IFDPWt_1FKiwhDph83XaGc0o0/edit?usp=sharing"",""งบพรบ!BZ27"")"),11680)</f>
        <v>11680</v>
      </c>
      <c r="N154" s="93">
        <f ca="1">IFERROR(__xludf.DUMMYFUNCTION("IMPORTRANGE(""https://docs.google.com/spreadsheets/d/1MeEWN-I1oV_STSDYn1IFDPWt_1FKiwhDph83XaGc0o0/edit?usp=sharing"",""งบพรบ!CB27"")"),6720)</f>
        <v>6720</v>
      </c>
      <c r="O154" s="93">
        <f t="shared" ca="1" si="78"/>
        <v>67.2</v>
      </c>
      <c r="P154" s="93">
        <f t="shared" ca="1" si="79"/>
        <v>57.534246575342465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IFERROR(__xludf.DUMMYFUNCTION("IMPORTRANGE(""https://docs.google.com/spreadsheets/d/1MeEWN-I1oV_STSDYn1IFDPWt_1FKiwhDph83XaGc0o0/edit?usp=sharing"",""งบพรบ!BX27"")"),0)</f>
        <v>0</v>
      </c>
      <c r="M157" s="93">
        <f ca="1">IFERROR(__xludf.DUMMYFUNCTION("IMPORTRANGE(""https://docs.google.com/spreadsheets/d/1MeEWN-I1oV_STSDYn1IFDPWt_1FKiwhDph83XaGc0o0/edit?usp=sharing"",""งบพรบ!CA27"")"),0)</f>
        <v>0</v>
      </c>
      <c r="N157" s="93">
        <f ca="1">IFERROR(__xludf.DUMMYFUNCTION("IMPORTRANGE(""https://docs.google.com/spreadsheets/d/1MeEWN-I1oV_STSDYn1IFDPWt_1FKiwhDph83XaGc0o0/edit?usp=sharing"",""งบพรบ!CC27"")"),0)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IFERROR(__xludf.DUMMYFUNCTION("IMPORTRANGE(""https://docs.google.com/spreadsheets/d/1QqKyyYR6Q21VydFLVH3TRQUabQu_ym0Zz7PgGX0-kHA/edit?usp=sharing"",""แผน!X27"")"),20)</f>
        <v>20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41270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51.005573055488249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21050</v>
      </c>
      <c r="M167" s="93">
        <f t="shared" ca="1" si="87"/>
        <v>41270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51.005573055488249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41270</v>
      </c>
      <c r="N168" s="466">
        <f t="shared" ca="1" si="88"/>
        <v>21050</v>
      </c>
      <c r="O168" s="466">
        <f t="shared" ca="1" si="85"/>
        <v>100</v>
      </c>
      <c r="P168" s="466">
        <f t="shared" ca="1" si="86"/>
        <v>51.005573055488249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IFERROR(__xludf.DUMMYFUNCTION("IMPORTRANGE(""https://docs.google.com/spreadsheets/d/1MeEWN-I1oV_STSDYn1IFDPWt_1FKiwhDph83XaGc0o0/edit?usp=sharing"",""งบพรบ!CE27"")"),21050)</f>
        <v>21050</v>
      </c>
      <c r="M170" s="93">
        <f ca="1">IFERROR(__xludf.DUMMYFUNCTION("IMPORTRANGE(""https://docs.google.com/spreadsheets/d/1MeEWN-I1oV_STSDYn1IFDPWt_1FKiwhDph83XaGc0o0/edit?usp=sharing"",""งบพรบ!CJ27"")"),41270)</f>
        <v>41270</v>
      </c>
      <c r="N170" s="93">
        <f ca="1">IFERROR(__xludf.DUMMYFUNCTION("IMPORTRANGE(""https://docs.google.com/spreadsheets/d/1MeEWN-I1oV_STSDYn1IFDPWt_1FKiwhDph83XaGc0o0/edit?usp=sharing"",""งบพรบ!CL27"")"),21050)</f>
        <v>21050</v>
      </c>
      <c r="O170" s="93">
        <f t="shared" ca="1" si="85"/>
        <v>100</v>
      </c>
      <c r="P170" s="93">
        <f t="shared" ca="1" si="86"/>
        <v>51.005573055488249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IFERROR(__xludf.DUMMYFUNCTION("IMPORTRANGE(""https://docs.google.com/spreadsheets/d/1MeEWN-I1oV_STSDYn1IFDPWt_1FKiwhDph83XaGc0o0/edit?usp=sharing"",""งบพรบ!CH27"")"),0)</f>
        <v>0</v>
      </c>
      <c r="M173" s="93">
        <f ca="1">IFERROR(__xludf.DUMMYFUNCTION("IMPORTRANGE(""https://docs.google.com/spreadsheets/d/1MeEWN-I1oV_STSDYn1IFDPWt_1FKiwhDph83XaGc0o0/edit?usp=sharing"",""งบพรบ!CK27"")"),0)</f>
        <v>0</v>
      </c>
      <c r="N173" s="93">
        <f ca="1">IFERROR(__xludf.DUMMYFUNCTION("IMPORTRANGE(""https://docs.google.com/spreadsheets/d/1MeEWN-I1oV_STSDYn1IFDPWt_1FKiwhDph83XaGc0o0/edit?usp=sharing"",""งบพรบ!CM27"")"),0)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IFERROR(__xludf.DUMMYFUNCTION("IMPORTRANGE(""https://docs.google.com/spreadsheets/d/1QqKyyYR6Q21VydFLVH3TRQUabQu_ym0Zz7PgGX0-kHA/edit?usp=sharing"",""แผน!Y27"")"),10)</f>
        <v>10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50</v>
      </c>
      <c r="K180" s="254">
        <f ca="1">IF(I180&gt;0,J180*100/I180,0)</f>
        <v>50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665550</v>
      </c>
      <c r="M181" s="155">
        <f t="shared" ca="1" si="92"/>
        <v>500250</v>
      </c>
      <c r="N181" s="155">
        <f t="shared" ca="1" si="92"/>
        <v>203267.27</v>
      </c>
      <c r="O181" s="155">
        <f t="shared" ref="O181:O189" ca="1" si="93">IF(L181&gt;0,N181*100/L181,0)</f>
        <v>30.541247088873863</v>
      </c>
      <c r="P181" s="155">
        <f t="shared" ref="P181:P189" ca="1" si="94">IF(M181&gt;0,N181*100/M181,0)</f>
        <v>40.633137431284361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665550</v>
      </c>
      <c r="M183" s="93">
        <f t="shared" ca="1" si="95"/>
        <v>500250</v>
      </c>
      <c r="N183" s="93">
        <f t="shared" ca="1" si="95"/>
        <v>203267.27</v>
      </c>
      <c r="O183" s="93">
        <f t="shared" ca="1" si="93"/>
        <v>30.541247088873863</v>
      </c>
      <c r="P183" s="93">
        <f t="shared" ca="1" si="94"/>
        <v>40.633137431284361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6">L185+L186</f>
        <v>665550</v>
      </c>
      <c r="M184" s="466">
        <f t="shared" ca="1" si="96"/>
        <v>500250</v>
      </c>
      <c r="N184" s="466">
        <f t="shared" ca="1" si="96"/>
        <v>203267.27</v>
      </c>
      <c r="O184" s="466">
        <f t="shared" ca="1" si="93"/>
        <v>30.541247088873863</v>
      </c>
      <c r="P184" s="466">
        <f t="shared" ca="1" si="94"/>
        <v>40.633137431284361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IFERROR(__xludf.DUMMYFUNCTION("IMPORTRANGE(""https://docs.google.com/spreadsheets/d/1MeEWN-I1oV_STSDYn1IFDPWt_1FKiwhDph83XaGc0o0/edit?usp=sharing"",""งบพรบ!CO27"")"),665550)</f>
        <v>665550</v>
      </c>
      <c r="M186" s="93">
        <f ca="1">IFERROR(__xludf.DUMMYFUNCTION("IMPORTRANGE(""https://docs.google.com/spreadsheets/d/1MeEWN-I1oV_STSDYn1IFDPWt_1FKiwhDph83XaGc0o0/edit?usp=sharing"",""งบพรบ!CT27"")"),500250)</f>
        <v>500250</v>
      </c>
      <c r="N186" s="93">
        <f ca="1">IFERROR(__xludf.DUMMYFUNCTION("IMPORTRANGE(""https://docs.google.com/spreadsheets/d/1MeEWN-I1oV_STSDYn1IFDPWt_1FKiwhDph83XaGc0o0/edit?usp=sharing"",""งบพรบ!CV27"")"),203267.27)</f>
        <v>203267.27</v>
      </c>
      <c r="O186" s="93">
        <f t="shared" ca="1" si="93"/>
        <v>30.541247088873863</v>
      </c>
      <c r="P186" s="93">
        <f t="shared" ca="1" si="94"/>
        <v>40.633137431284361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IFERROR(__xludf.DUMMYFUNCTION("IMPORTRANGE(""https://docs.google.com/spreadsheets/d/1MeEWN-I1oV_STSDYn1IFDPWt_1FKiwhDph83XaGc0o0/edit?usp=sharing"",""งบพรบ!CR27"")"),0)</f>
        <v>0</v>
      </c>
      <c r="M189" s="93">
        <f ca="1">IFERROR(__xludf.DUMMYFUNCTION("IMPORTRANGE(""https://docs.google.com/spreadsheets/d/1MeEWN-I1oV_STSDYn1IFDPWt_1FKiwhDph83XaGc0o0/edit?usp=sharing"",""งบพรบ!CU27"")"),0)</f>
        <v>0</v>
      </c>
      <c r="N189" s="93">
        <f ca="1">IFERROR(__xludf.DUMMYFUNCTION("IMPORTRANGE(""https://docs.google.com/spreadsheets/d/1MeEWN-I1oV_STSDYn1IFDPWt_1FKiwhDph83XaGc0o0/edit?usp=sharing"",""งบพรบ!CW27"")"),0)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IFERROR(__xludf.DUMMYFUNCTION("IMPORTRANGE(""https://docs.google.com/spreadsheets/d/1QqKyyYR6Q21VydFLVH3TRQUabQu_ym0Zz7PgGX0-kHA/edit?usp=sharing"",""แผน!AC27"")"),4)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1000</v>
      </c>
      <c r="O198" s="155">
        <f ca="1">IF(L198&gt;0,N198*100/L198,0)</f>
        <v>3.8461538461538463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IFERROR(__xludf.DUMMYFUNCTION("IMPORTRANGE(""https://docs.google.com/spreadsheets/d/1QqKyyYR6Q21VydFLVH3TRQUabQu_ym0Zz7PgGX0-kHA/edit?usp=sharing"",""แผน!AE27"")"),2000)</f>
        <v>2000</v>
      </c>
      <c r="M199" s="466"/>
      <c r="N199" s="801">
        <v>1000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IFERROR(__xludf.DUMMYFUNCTION("IMPORTRANGE(""https://docs.google.com/spreadsheets/d/1QqKyyYR6Q21VydFLVH3TRQUabQu_ym0Zz7PgGX0-kHA/edit?usp=sharing"",""แผน!AF27"")"),16000)</f>
        <v>16000</v>
      </c>
      <c r="M200" s="466"/>
      <c r="N200" s="801">
        <v>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IFERROR(__xludf.DUMMYFUNCTION("IMPORTRANGE(""https://docs.google.com/spreadsheets/d/1QqKyyYR6Q21VydFLVH3TRQUabQu_ym0Zz7PgGX0-kHA/edit?usp=sharing"",""แผน!AG27"")"),8000)</f>
        <v>8000</v>
      </c>
      <c r="M201" s="466"/>
      <c r="N201" s="801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IFERROR(__xludf.DUMMYFUNCTION("IMPORTRANGE(""https://docs.google.com/spreadsheets/d/1QqKyyYR6Q21VydFLVH3TRQUabQu_ym0Zz7PgGX0-kHA/edit?usp=sharing"",""แผน!AH27"")"),0)</f>
        <v>0</v>
      </c>
      <c r="M202" s="466"/>
      <c r="N202" s="801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IFERROR(__xludf.DUMMYFUNCTION("IMPORTRANGE(""https://docs.google.com/spreadsheets/d/1QqKyyYR6Q21VydFLVH3TRQUabQu_ym0Zz7PgGX0-kHA/edit?usp=sharing"",""แผน!AI27"")"),2)</f>
        <v>2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IFERROR(__xludf.DUMMYFUNCTION("IMPORTRANGE(""https://docs.google.com/spreadsheets/d/1QqKyyYR6Q21VydFLVH3TRQUabQu_ym0Zz7PgGX0-kHA/edit?usp=sharing"",""แผน!AK27"")"),0)</f>
        <v>0</v>
      </c>
      <c r="M210" s="466"/>
      <c r="N210" s="801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IFERROR(__xludf.DUMMYFUNCTION("IMPORTRANGE(""https://docs.google.com/spreadsheets/d/1QqKyyYR6Q21VydFLVH3TRQUabQu_ym0Zz7PgGX0-kHA/edit?usp=sharing"",""แผน!AL27"")"),0)</f>
        <v>0</v>
      </c>
      <c r="M211" s="466"/>
      <c r="N211" s="801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IFERROR(__xludf.DUMMYFUNCTION("IMPORTRANGE(""https://docs.google.com/spreadsheets/d/1QqKyyYR6Q21VydFLVH3TRQUabQu_ym0Zz7PgGX0-kHA/edit?usp=sharing"",""แผน!AM27"")"),0)</f>
        <v>0</v>
      </c>
      <c r="M212" s="466"/>
      <c r="N212" s="801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IFERROR(__xludf.DUMMYFUNCTION("IMPORTRANGE(""https://docs.google.com/spreadsheets/d/1QqKyyYR6Q21VydFLVH3TRQUabQu_ym0Zz7PgGX0-kHA/edit?usp=sharing"",""แผน!AN27"")"),0)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IFERROR(__xludf.DUMMYFUNCTION("IMPORTRANGE(""https://docs.google.com/spreadsheets/d/1QqKyyYR6Q21VydFLVH3TRQUabQu_ym0Zz7PgGX0-kHA/edit?usp=sharing"",""แผน!AN27"")"),0)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IFERROR(__xludf.DUMMYFUNCTION("IMPORTRANGE(""https://docs.google.com/spreadsheets/d/1QqKyyYR6Q21VydFLVH3TRQUabQu_ym0Zz7PgGX0-kHA/edit?usp=sharing"",""แผน!AP27"")"),6000)</f>
        <v>6000</v>
      </c>
      <c r="M218" s="466"/>
      <c r="N218" s="801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IFERROR(__xludf.DUMMYFUNCTION("IMPORTRANGE(""https://docs.google.com/spreadsheets/d/1QqKyyYR6Q21VydFLVH3TRQUabQu_ym0Zz7PgGX0-kHA/edit?usp=sharing"",""แผน!AQ27"")"),25000)</f>
        <v>25000</v>
      </c>
      <c r="M219" s="466"/>
      <c r="N219" s="801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IFERROR(__xludf.DUMMYFUNCTION("IMPORTRANGE(""https://docs.google.com/spreadsheets/d/1QqKyyYR6Q21VydFLVH3TRQUabQu_ym0Zz7PgGX0-kHA/edit?usp=sharing"",""แผน!AR27"")"),0)</f>
        <v>0</v>
      </c>
      <c r="M220" s="466"/>
      <c r="N220" s="801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IFERROR(__xludf.DUMMYFUNCTION("IMPORTRANGE(""https://docs.google.com/spreadsheets/d/1QqKyyYR6Q21VydFLVH3TRQUabQu_ym0Zz7PgGX0-kHA/edit?usp=sharing"",""แผน!AT27"")"),100000)</f>
        <v>100000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IFERROR(__xludf.DUMMYFUNCTION("IMPORTRANGE(""https://docs.google.com/spreadsheets/d/1QqKyyYR6Q21VydFLVH3TRQUabQu_ym0Zz7PgGX0-kHA/edit?usp=sharing"",""แผน!AT27"")"),100000)</f>
        <v>100000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IFERROR(__xludf.DUMMYFUNCTION("IMPORTRANGE(""https://docs.google.com/spreadsheets/d/1QqKyyYR6Q21VydFLVH3TRQUabQu_ym0Zz7PgGX0-kHA/edit?usp=sharing"",""แผน!AS27"")"),0)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5">I237+I248</f>
        <v>100</v>
      </c>
      <c r="J226" s="821">
        <f t="shared" si="105"/>
        <v>50</v>
      </c>
      <c r="K226" s="822">
        <f t="shared" ca="1" si="104"/>
        <v>50</v>
      </c>
      <c r="L226" s="262"/>
      <c r="M226" s="262"/>
      <c r="N226" s="262"/>
      <c r="O226" s="262"/>
      <c r="P226" s="262"/>
    </row>
    <row r="227" spans="1:2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6">L238+L249</f>
        <v>602550</v>
      </c>
      <c r="M227" s="831"/>
      <c r="N227" s="831">
        <f t="shared" ref="N227:N231" si="107">N238+N249</f>
        <v>202267.27000000002</v>
      </c>
      <c r="O227" s="832"/>
      <c r="P227" s="83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416700</v>
      </c>
      <c r="M228" s="93"/>
      <c r="N228" s="93">
        <f t="shared" si="107"/>
        <v>108490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135850</v>
      </c>
      <c r="M229" s="93"/>
      <c r="N229" s="93">
        <f t="shared" si="107"/>
        <v>93777.27</v>
      </c>
      <c r="O229" s="93"/>
      <c r="P229" s="93"/>
      <c r="Q229" s="835"/>
      <c r="R229" s="835"/>
      <c r="S229" s="835"/>
      <c r="T229" s="835"/>
      <c r="U229" s="835"/>
      <c r="V229" s="835"/>
      <c r="W229" s="835"/>
      <c r="X229" s="835"/>
      <c r="Y229" s="835"/>
      <c r="Z229" s="835"/>
    </row>
    <row r="230" spans="1:2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35"/>
      <c r="R230" s="835"/>
      <c r="S230" s="835"/>
      <c r="T230" s="835"/>
      <c r="U230" s="835"/>
      <c r="V230" s="835"/>
      <c r="W230" s="835"/>
      <c r="X230" s="835"/>
      <c r="Y230" s="835"/>
      <c r="Z230" s="835"/>
    </row>
    <row r="231" spans="1:2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50000</v>
      </c>
      <c r="M231" s="93"/>
      <c r="N231" s="93">
        <f t="shared" si="107"/>
        <v>0</v>
      </c>
      <c r="O231" s="93"/>
      <c r="P231" s="93"/>
      <c r="Q231" s="835"/>
      <c r="R231" s="835"/>
      <c r="S231" s="835"/>
      <c r="T231" s="835"/>
      <c r="U231" s="835"/>
      <c r="V231" s="835"/>
      <c r="W231" s="835"/>
      <c r="X231" s="835"/>
      <c r="Y231" s="835"/>
      <c r="Z231" s="835"/>
    </row>
    <row r="232" spans="1:2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8">I244+I255</f>
        <v>100</v>
      </c>
      <c r="J233" s="584">
        <f t="shared" si="108"/>
        <v>50</v>
      </c>
      <c r="K233" s="93">
        <f ca="1">IF(I233&gt;0,J233*100/I233,0)</f>
        <v>50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09"/>
        <v>3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351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50</v>
      </c>
      <c r="K237" s="273">
        <f t="shared" ca="1" si="110"/>
        <v>50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602550</v>
      </c>
      <c r="M238" s="155"/>
      <c r="N238" s="155">
        <f>N239+N240+N241+N242</f>
        <v>202267.27000000002</v>
      </c>
      <c r="O238" s="155">
        <f ca="1">IF(L238&gt;0,N238*100/L238,0)</f>
        <v>33.568545348933696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IFERROR(__xludf.DUMMYFUNCTION("IMPORTRANGE(""https://docs.google.com/spreadsheets/d/1QqKyyYR6Q21VydFLVH3TRQUabQu_ym0Zz7PgGX0-kHA/edit?usp=sharing"",""แผน!AV27"")"),416700)</f>
        <v>416700</v>
      </c>
      <c r="M239" s="322"/>
      <c r="N239" s="341">
        <v>108490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IFERROR(__xludf.DUMMYFUNCTION("IMPORTRANGE(""https://docs.google.com/spreadsheets/d/1QqKyyYR6Q21VydFLVH3TRQUabQu_ym0Zz7PgGX0-kHA/edit?usp=sharing"",""แผน!AW27"")"),135850)</f>
        <v>135850</v>
      </c>
      <c r="M240" s="322"/>
      <c r="N240" s="341">
        <v>93777.27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IFERROR(__xludf.DUMMYFUNCTION("IMPORTRANGE(""https://docs.google.com/spreadsheets/d/1QqKyyYR6Q21VydFLVH3TRQUabQu_ym0Zz7PgGX0-kHA/edit?usp=sharing"",""แผน!AX27"")"),0)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IFERROR(__xludf.DUMMYFUNCTION("IMPORTRANGE(""https://docs.google.com/spreadsheets/d/1QqKyyYR6Q21VydFLVH3TRQUabQu_ym0Zz7PgGX0-kHA/edit?usp=sharing"",""แผน!AY27"")"),50000)</f>
        <v>50000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IFERROR(__xludf.DUMMYFUNCTION("IMPORTRANGE(""https://docs.google.com/spreadsheets/d/1QqKyyYR6Q21VydFLVH3TRQUabQu_ym0Zz7PgGX0-kHA/edit?usp=sharing"",""แผน!BE27"")"),100)</f>
        <v>100</v>
      </c>
      <c r="J244" s="215">
        <v>50</v>
      </c>
      <c r="K244" s="466">
        <f ca="1">IF(I244&gt;0,J244*100/I244,0)</f>
        <v>50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>
        <v>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>
        <v>3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IFERROR(__xludf.DUMMYFUNCTION("IMPORTRANGE(""https://docs.google.com/spreadsheets/d/1QqKyyYR6Q21VydFLVH3TRQUabQu_ym0Zz7PgGX0-kHA/edit?usp=sharing"",""แผน!AZ27"")"),0)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IFERROR(__xludf.DUMMYFUNCTION("IMPORTRANGE(""https://docs.google.com/spreadsheets/d/1QqKyyYR6Q21VydFLVH3TRQUabQu_ym0Zz7PgGX0-kHA/edit?usp=sharing"",""แผน!BA27"")"),0)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IFERROR(__xludf.DUMMYFUNCTION("IMPORTRANGE(""https://docs.google.com/spreadsheets/d/1QqKyyYR6Q21VydFLVH3TRQUabQu_ym0Zz7PgGX0-kHA/edit?usp=sharing"",""แผน!BB27"")"),0)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IFERROR(__xludf.DUMMYFUNCTION("IMPORTRANGE(""https://docs.google.com/spreadsheets/d/1QqKyyYR6Q21VydFLVH3TRQUabQu_ym0Zz7PgGX0-kHA/edit?usp=sharing"",""แผน!BC27"")"),0)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IFERROR(__xludf.DUMMYFUNCTION("IMPORTRANGE(""https://docs.google.com/spreadsheets/d/1QqKyyYR6Q21VydFLVH3TRQUabQu_ym0Zz7PgGX0-kHA/edit?usp=sharing"",""แผน!BF27"")"),0)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312900</v>
      </c>
      <c r="M261" s="155">
        <f t="shared" ca="1" si="116"/>
        <v>231900</v>
      </c>
      <c r="N261" s="155">
        <f t="shared" ca="1" si="116"/>
        <v>90819.8</v>
      </c>
      <c r="O261" s="155">
        <f t="shared" ref="O261:O269" ca="1" si="117">IF(L261&gt;0,N261*100/L261,0)</f>
        <v>29.02518376478108</v>
      </c>
      <c r="P261" s="155">
        <f t="shared" ref="P261:P269" ca="1" si="118">IF(M261&gt;0,N261*100/M261,0)</f>
        <v>39.163346269943943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312900</v>
      </c>
      <c r="M263" s="93">
        <f t="shared" ca="1" si="119"/>
        <v>231900</v>
      </c>
      <c r="N263" s="93">
        <f t="shared" ca="1" si="119"/>
        <v>90819.8</v>
      </c>
      <c r="O263" s="93">
        <f t="shared" ca="1" si="117"/>
        <v>29.02518376478108</v>
      </c>
      <c r="P263" s="93">
        <f t="shared" ca="1" si="118"/>
        <v>39.163346269943943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0">L265+L266</f>
        <v>312900</v>
      </c>
      <c r="M264" s="466">
        <f t="shared" ca="1" si="120"/>
        <v>231900</v>
      </c>
      <c r="N264" s="466">
        <f t="shared" ca="1" si="120"/>
        <v>90819.8</v>
      </c>
      <c r="O264" s="466">
        <f t="shared" ca="1" si="117"/>
        <v>29.02518376478108</v>
      </c>
      <c r="P264" s="466">
        <f t="shared" ca="1" si="118"/>
        <v>39.163346269943943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IFERROR(__xludf.DUMMYFUNCTION("IMPORTRANGE(""https://docs.google.com/spreadsheets/d/1MeEWN-I1oV_STSDYn1IFDPWt_1FKiwhDph83XaGc0o0/edit?usp=sharing"",""งบพรบ!CY27"")"),312900)</f>
        <v>312900</v>
      </c>
      <c r="M266" s="93">
        <f ca="1">IFERROR(__xludf.DUMMYFUNCTION("IMPORTRANGE(""https://docs.google.com/spreadsheets/d/1MeEWN-I1oV_STSDYn1IFDPWt_1FKiwhDph83XaGc0o0/edit?usp=sharing"",""งบพรบ!DD27"")"),231900)</f>
        <v>231900</v>
      </c>
      <c r="N266" s="93">
        <f ca="1">IFERROR(__xludf.DUMMYFUNCTION("IMPORTRANGE(""https://docs.google.com/spreadsheets/d/1MeEWN-I1oV_STSDYn1IFDPWt_1FKiwhDph83XaGc0o0/edit?usp=sharing"",""งบพรบ!DF27"")"),90819.8)</f>
        <v>90819.8</v>
      </c>
      <c r="O266" s="93">
        <f t="shared" ca="1" si="117"/>
        <v>29.02518376478108</v>
      </c>
      <c r="P266" s="93">
        <f t="shared" ca="1" si="118"/>
        <v>39.163346269943943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IFERROR(__xludf.DUMMYFUNCTION("IMPORTRANGE(""https://docs.google.com/spreadsheets/d/1MeEWN-I1oV_STSDYn1IFDPWt_1FKiwhDph83XaGc0o0/edit?usp=sharing"",""งบพรบ!DB27"")"),0)</f>
        <v>0</v>
      </c>
      <c r="M269" s="93">
        <f ca="1">IFERROR(__xludf.DUMMYFUNCTION("IMPORTRANGE(""https://docs.google.com/spreadsheets/d/1MeEWN-I1oV_STSDYn1IFDPWt_1FKiwhDph83XaGc0o0/edit?usp=sharing"",""งบพรบ!DE27"")"),0)</f>
        <v>0</v>
      </c>
      <c r="N269" s="93">
        <f ca="1">IFERROR(__xludf.DUMMYFUNCTION("IMPORTRANGE(""https://docs.google.com/spreadsheets/d/1MeEWN-I1oV_STSDYn1IFDPWt_1FKiwhDph83XaGc0o0/edit?usp=sharing"",""งบพรบ!DG27"")"),0)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26" ht="19.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IFERROR(__xludf.DUMMYFUNCTION("IMPORTRANGE(""https://docs.google.com/spreadsheets/d/1QqKyyYR6Q21VydFLVH3TRQUabQu_ym0Zz7PgGX0-kHA/edit?usp=sharing"",""แผน!EA27"")"),22)</f>
        <v>22</v>
      </c>
      <c r="J271" s="909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 hidden="1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 hidden="1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 hidden="1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 hidden="1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62">
        <f t="shared" ref="I276:J276" ca="1" si="124">I287</f>
        <v>0</v>
      </c>
      <c r="J276" s="862">
        <f t="shared" si="124"/>
        <v>0</v>
      </c>
      <c r="K276" s="377">
        <f t="shared" ca="1" si="123"/>
        <v>0</v>
      </c>
      <c r="L276" s="377"/>
      <c r="M276" s="377"/>
      <c r="N276" s="377"/>
      <c r="O276" s="377"/>
      <c r="P276" s="377"/>
    </row>
    <row r="277" spans="1:26" ht="19.5" hidden="1">
      <c r="A277" s="147"/>
      <c r="B277" s="148"/>
      <c r="C277" s="149" t="s">
        <v>16</v>
      </c>
      <c r="D277" s="84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29">L281+L282</f>
        <v>0</v>
      </c>
      <c r="M280" s="466">
        <f t="shared" ca="1" si="129"/>
        <v>0</v>
      </c>
      <c r="N280" s="466">
        <f t="shared" ca="1" si="129"/>
        <v>0</v>
      </c>
      <c r="O280" s="466">
        <f t="shared" ca="1" si="126"/>
        <v>0</v>
      </c>
      <c r="P280" s="46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IFERROR(__xludf.DUMMYFUNCTION("IMPORTRANGE(""https://docs.google.com/spreadsheets/d/1MeEWN-I1oV_STSDYn1IFDPWt_1FKiwhDph83XaGc0o0/edit?usp=sharing"",""งบพรบ!DI27"")"),0)</f>
        <v>0</v>
      </c>
      <c r="M282" s="93">
        <f ca="1">IFERROR(__xludf.DUMMYFUNCTION("IMPORTRANGE(""https://docs.google.com/spreadsheets/d/1MeEWN-I1oV_STSDYn1IFDPWt_1FKiwhDph83XaGc0o0/edit?usp=sharing"",""งบพรบ!DN27"")"),0)</f>
        <v>0</v>
      </c>
      <c r="N282" s="93">
        <f ca="1">IFERROR(__xludf.DUMMYFUNCTION("IMPORTRANGE(""https://docs.google.com/spreadsheets/d/1MeEWN-I1oV_STSDYn1IFDPWt_1FKiwhDph83XaGc0o0/edit?usp=sharing"",""งบพรบ!DP27"")"),0)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IFERROR(__xludf.DUMMYFUNCTION("IMPORTRANGE(""https://docs.google.com/spreadsheets/d/1MeEWN-I1oV_STSDYn1IFDPWt_1FKiwhDph83XaGc0o0/edit?usp=sharing"",""งบพรบ!DL27"")"),0)</f>
        <v>0</v>
      </c>
      <c r="M285" s="93">
        <f ca="1">IFERROR(__xludf.DUMMYFUNCTION("IMPORTRANGE(""https://docs.google.com/spreadsheets/d/1MeEWN-I1oV_STSDYn1IFDPWt_1FKiwhDph83XaGc0o0/edit?usp=sharing"",""งบพรบ!DO27"")"),0)</f>
        <v>0</v>
      </c>
      <c r="N285" s="93">
        <f ca="1">IFERROR(__xludf.DUMMYFUNCTION("IMPORTRANGE(""https://docs.google.com/spreadsheets/d/1MeEWN-I1oV_STSDYn1IFDPWt_1FKiwhDph83XaGc0o0/edit?usp=sharing"",""งบพรบ!DQ27"")"),0)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IFERROR(__xludf.DUMMYFUNCTION("IMPORTRANGE(""https://docs.google.com/spreadsheets/d/1QqKyyYR6Q21VydFLVH3TRQUabQu_ym0Zz7PgGX0-kHA/edit?usp=sharing"",""แผน!EC27"")"),0)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IFERROR(__xludf.DUMMYFUNCTION("IMPORTRANGE(""https://docs.google.com/spreadsheets/d/1QqKyyYR6Q21VydFLVH3TRQUabQu_ym0Zz7PgGX0-kHA/edit?usp=sharing"",""แผน!EB27"")"),0)</f>
        <v>0</v>
      </c>
      <c r="J288" s="648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IFERROR(__xludf.DUMMYFUNCTION("IMPORTRANGE(""https://docs.google.com/spreadsheets/d/1QqKyyYR6Q21VydFLVH3TRQUabQu_ym0Zz7PgGX0-kHA/edit?usp=sharing"",""แผน!EB27"")"),0)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343"/>
      <c r="E291" s="593" t="s">
        <v>348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IFERROR(__xludf.DUMMYFUNCTION("IMPORTRANGE(""https://docs.google.com/spreadsheets/d/1QqKyyYR6Q21VydFLVH3TRQUabQu_ym0Zz7PgGX0-kHA/edit?usp=sharing"",""แผน!EB27"")"),0)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IFERROR(__xludf.DUMMYFUNCTION("IMPORTRANGE(""https://docs.google.com/spreadsheets/d/1QqKyyYR6Q21VydFLVH3TRQUabQu_ym0Zz7PgGX0-kHA/edit?usp=sharing"",""แผน!EB27"")"),0)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47"/>
      <c r="B294" s="348"/>
      <c r="C294" s="348"/>
      <c r="D294" s="350"/>
      <c r="E294" s="701" t="s">
        <v>348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IFERROR(__xludf.DUMMYFUNCTION("IMPORTRANGE(""https://docs.google.com/spreadsheets/d/1QqKyyYR6Q21VydFLVH3TRQUabQu_ym0Zz7PgGX0-kHA/edit?usp=sharing"",""แผน!EB27"")"),0)</f>
        <v>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4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IFERROR(__xludf.DUMMYFUNCTION("IMPORTRANGE(""https://docs.google.com/spreadsheets/d/1MeEWN-I1oV_STSDYn1IFDPWt_1FKiwhDph83XaGc0o0/edit?usp=sharing"",""งบพรบ!DS27"")"),0)</f>
        <v>0</v>
      </c>
      <c r="M303" s="93">
        <f ca="1">IFERROR(__xludf.DUMMYFUNCTION("IMPORTRANGE(""https://docs.google.com/spreadsheets/d/1MeEWN-I1oV_STSDYn1IFDPWt_1FKiwhDph83XaGc0o0/edit?usp=sharing"",""งบพรบ!DX27"")"),0)</f>
        <v>0</v>
      </c>
      <c r="N303" s="93">
        <f ca="1">IFERROR(__xludf.DUMMYFUNCTION("IMPORTRANGE(""https://docs.google.com/spreadsheets/d/1MeEWN-I1oV_STSDYn1IFDPWt_1FKiwhDph83XaGc0o0/edit?usp=sharing"",""งบพรบ!DZ27"")"),0)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IFERROR(__xludf.DUMMYFUNCTION("IMPORTRANGE(""https://docs.google.com/spreadsheets/d/1MeEWN-I1oV_STSDYn1IFDPWt_1FKiwhDph83XaGc0o0/edit?usp=sharing"",""งบพรบ!DV27"")"),0)</f>
        <v>0</v>
      </c>
      <c r="M306" s="93">
        <f ca="1">IFERROR(__xludf.DUMMYFUNCTION("IMPORTRANGE(""https://docs.google.com/spreadsheets/d/1MeEWN-I1oV_STSDYn1IFDPWt_1FKiwhDph83XaGc0o0/edit?usp=sharing"",""งบพรบ!DY27"")"),0)</f>
        <v>0</v>
      </c>
      <c r="N306" s="93">
        <f ca="1">IFERROR(__xludf.DUMMYFUNCTION("IMPORTRANGE(""https://docs.google.com/spreadsheets/d/1MeEWN-I1oV_STSDYn1IFDPWt_1FKiwhDph83XaGc0o0/edit?usp=sharing"",""งบพรบ!EA27"")"),0)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IFERROR(__xludf.DUMMYFUNCTION("IMPORTRANGE(""https://docs.google.com/spreadsheets/d/1QqKyyYR6Q21VydFLVH3TRQUabQu_ym0Zz7PgGX0-kHA/edit?usp=sharing"",""แผน!ED27"")"),0)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IFERROR(__xludf.DUMMYFUNCTION("IMPORTRANGE(""https://docs.google.com/spreadsheets/d/1QqKyyYR6Q21VydFLVH3TRQUabQu_ym0Zz7PgGX0-kHA/edit?usp=sharing"",""แผน!ED27"")"),0)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IFERROR(__xludf.DUMMYFUNCTION("IMPORTRANGE(""https://docs.google.com/spreadsheets/d/1QqKyyYR6Q21VydFLVH3TRQUabQu_ym0Zz7PgGX0-kHA/edit?usp=sharing"",""แผน!ED27"")"),0)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IFERROR(__xludf.DUMMYFUNCTION("IMPORTRANGE(""https://docs.google.com/spreadsheets/d/1QqKyyYR6Q21VydFLVH3TRQUabQu_ym0Zz7PgGX0-kHA/edit?usp=sharing"",""แผน!EE27"")"),0)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4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IFERROR(__xludf.DUMMYFUNCTION("IMPORTRANGE(""https://docs.google.com/spreadsheets/d/1MeEWN-I1oV_STSDYn1IFDPWt_1FKiwhDph83XaGc0o0/edit?usp=sharing"",""งบพรบ!EC27"")"),0)</f>
        <v>0</v>
      </c>
      <c r="M320" s="93">
        <f ca="1">IFERROR(__xludf.DUMMYFUNCTION("IMPORTRANGE(""https://docs.google.com/spreadsheets/d/1MeEWN-I1oV_STSDYn1IFDPWt_1FKiwhDph83XaGc0o0/edit?usp=sharing"",""งบพรบ!EH27"")"),0)</f>
        <v>0</v>
      </c>
      <c r="N320" s="93">
        <f ca="1">IFERROR(__xludf.DUMMYFUNCTION("IMPORTRANGE(""https://docs.google.com/spreadsheets/d/1MeEWN-I1oV_STSDYn1IFDPWt_1FKiwhDph83XaGc0o0/edit?usp=sharing"",""งบพรบ!EJ27"")"),0)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IFERROR(__xludf.DUMMYFUNCTION("IMPORTRANGE(""https://docs.google.com/spreadsheets/d/1MeEWN-I1oV_STSDYn1IFDPWt_1FKiwhDph83XaGc0o0/edit?usp=sharing"",""งบพรบ!EF27"")"),0)</f>
        <v>0</v>
      </c>
      <c r="M323" s="93">
        <f ca="1">IFERROR(__xludf.DUMMYFUNCTION("IMPORTRANGE(""https://docs.google.com/spreadsheets/d/1MeEWN-I1oV_STSDYn1IFDPWt_1FKiwhDph83XaGc0o0/edit?usp=sharing"",""งบพรบ!EI27"")"),0)</f>
        <v>0</v>
      </c>
      <c r="N323" s="93">
        <f ca="1">IFERROR(__xludf.DUMMYFUNCTION("IMPORTRANGE(""https://docs.google.com/spreadsheets/d/1MeEWN-I1oV_STSDYn1IFDPWt_1FKiwhDph83XaGc0o0/edit?usp=sharing"",""งบพรบ!EK27"")"),0)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IFERROR(__xludf.DUMMYFUNCTION("IMPORTRANGE(""https://docs.google.com/spreadsheets/d/1QqKyyYR6Q21VydFLVH3TRQUabQu_ym0Zz7PgGX0-kHA/edit?usp=sharing"",""แผน!EF27"")"),0)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IFERROR(__xludf.DUMMYFUNCTION("IMPORTRANGE(""https://docs.google.com/spreadsheets/d/1QqKyyYR6Q21VydFLVH3TRQUabQu_ym0Zz7PgGX0-kHA/edit?usp=sharing"",""แผน!EG27"")"),700)</f>
        <v>700</v>
      </c>
      <c r="J327" s="413">
        <f ca="1">J338+J341+J342+J343</f>
        <v>713</v>
      </c>
      <c r="K327" s="414">
        <f ca="1">IF(I327&gt;0,J327*100/I327,0)</f>
        <v>101.85714285714286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4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165000</v>
      </c>
      <c r="M328" s="155">
        <f t="shared" ca="1" si="149"/>
        <v>123750</v>
      </c>
      <c r="N328" s="155">
        <f t="shared" ca="1" si="149"/>
        <v>56328</v>
      </c>
      <c r="O328" s="155">
        <f t="shared" ref="O328:O336" ca="1" si="150">IF(L328&gt;0,N328*100/L328,0)</f>
        <v>34.13818181818182</v>
      </c>
      <c r="P328" s="155">
        <f t="shared" ref="P328:P336" ca="1" si="151">IF(M328&gt;0,N328*100/M328,0)</f>
        <v>45.517575757575756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165000</v>
      </c>
      <c r="M330" s="93">
        <f t="shared" ca="1" si="152"/>
        <v>123750</v>
      </c>
      <c r="N330" s="93">
        <f t="shared" ca="1" si="152"/>
        <v>56328</v>
      </c>
      <c r="O330" s="93">
        <f t="shared" ca="1" si="150"/>
        <v>34.13818181818182</v>
      </c>
      <c r="P330" s="93">
        <f t="shared" ca="1" si="151"/>
        <v>45.517575757575756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3">L332+L333</f>
        <v>165000</v>
      </c>
      <c r="M331" s="466">
        <f t="shared" ca="1" si="153"/>
        <v>123750</v>
      </c>
      <c r="N331" s="466">
        <f t="shared" ca="1" si="153"/>
        <v>56328</v>
      </c>
      <c r="O331" s="466">
        <f t="shared" ca="1" si="150"/>
        <v>34.13818181818182</v>
      </c>
      <c r="P331" s="466">
        <f t="shared" ca="1" si="151"/>
        <v>45.517575757575756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IFERROR(__xludf.DUMMYFUNCTION("IMPORTRANGE(""https://docs.google.com/spreadsheets/d/1MeEWN-I1oV_STSDYn1IFDPWt_1FKiwhDph83XaGc0o0/edit?usp=sharing"",""งบพรบ!EM27"")"),165000)</f>
        <v>165000</v>
      </c>
      <c r="M333" s="93">
        <f ca="1">IFERROR(__xludf.DUMMYFUNCTION("IMPORTRANGE(""https://docs.google.com/spreadsheets/d/1MeEWN-I1oV_STSDYn1IFDPWt_1FKiwhDph83XaGc0o0/edit?usp=sharing"",""งบพรบ!ER27"")"),123750)</f>
        <v>123750</v>
      </c>
      <c r="N333" s="93">
        <f ca="1">IFERROR(__xludf.DUMMYFUNCTION("IMPORTRANGE(""https://docs.google.com/spreadsheets/d/1MeEWN-I1oV_STSDYn1IFDPWt_1FKiwhDph83XaGc0o0/edit?usp=sharing"",""งบพรบ!ET27"")"),56328)</f>
        <v>56328</v>
      </c>
      <c r="O333" s="93">
        <f t="shared" ca="1" si="150"/>
        <v>34.13818181818182</v>
      </c>
      <c r="P333" s="93">
        <f t="shared" ca="1" si="151"/>
        <v>45.517575757575756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IFERROR(__xludf.DUMMYFUNCTION("IMPORTRANGE(""https://docs.google.com/spreadsheets/d/1MeEWN-I1oV_STSDYn1IFDPWt_1FKiwhDph83XaGc0o0/edit?usp=sharing"",""งบพรบ!EP27"")"),0)</f>
        <v>0</v>
      </c>
      <c r="M336" s="93">
        <f ca="1">IFERROR(__xludf.DUMMYFUNCTION("IMPORTRANGE(""https://docs.google.com/spreadsheets/d/1MeEWN-I1oV_STSDYn1IFDPWt_1FKiwhDph83XaGc0o0/edit?usp=sharing"",""งบพรบ!ES27"")"),0)</f>
        <v>0</v>
      </c>
      <c r="N336" s="93">
        <f ca="1">IFERROR(__xludf.DUMMYFUNCTION("IMPORTRANGE(""https://docs.google.com/spreadsheets/d/1MeEWN-I1oV_STSDYn1IFDPWt_1FKiwhDph83XaGc0o0/edit?usp=sharing"",""งบพรบ!EU27"")"),0)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IFERROR(__xludf.DUMMYFUNCTION("IMPORTRANGE(""https://docs.google.com/spreadsheets/d/1QqKyyYR6Q21VydFLVH3TRQUabQu_ym0Zz7PgGX0-kHA/edit?usp=sharing"",""แผน!EG27"")"),700)</f>
        <v>700</v>
      </c>
      <c r="J338" s="270">
        <f ca="1">IFERROR(__xludf.DUMMYFUNCTION("IMPORTRANGE(""https://docs.google.com/spreadsheets/d/1kVcqe37tkHyjCSG3S0O1AXqVkqjo8mSIZil3BcpIysc/edit?usp=sharing"",""ศูนย์!D27"")"),445)</f>
        <v>445</v>
      </c>
      <c r="K338" s="466">
        <f ca="1">IF(I338&gt;0,J338*100/I338,0)</f>
        <v>63.571428571428569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IFERROR(__xludf.DUMMYFUNCTION("IMPORTRANGE(""https://docs.google.com/spreadsheets/d/1QqKyyYR6Q21VydFLVH3TRQUabQu_ym0Zz7PgGX0-kHA/edit?usp=sharing"",""แผน!EH27"")"),6)</f>
        <v>6</v>
      </c>
      <c r="J340" s="270">
        <f ca="1">IFERROR(__xludf.DUMMYFUNCTION("IMPORTRANGE(""https://docs.google.com/spreadsheets/d/1kVcqe37tkHyjCSG3S0O1AXqVkqjo8mSIZil3BcpIysc/edit?usp=sharing"",""ศูนย์!E27"")"),6)</f>
        <v>6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IFERROR(__xludf.DUMMYFUNCTION("IMPORTRANGE(""https://docs.google.com/spreadsheets/d/1kVcqe37tkHyjCSG3S0O1AXqVkqjo8mSIZil3BcpIysc/edit?usp=sharing"",""ศูนย์!F27"")"),268)</f>
        <v>268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IFERROR(__xludf.DUMMYFUNCTION("IMPORTRANGE(""https://docs.google.com/spreadsheets/d/1kVcqe37tkHyjCSG3S0O1AXqVkqjo8mSIZil3BcpIysc/edit?usp=sharing"",""ศูนย์!G27"")"),0)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IFERROR(__xludf.DUMMYFUNCTION("IMPORTRANGE(""https://docs.google.com/spreadsheets/d/1kVcqe37tkHyjCSG3S0O1AXqVkqjo8mSIZil3BcpIysc/edit?usp=sharing"",""ศูนย์!H27"")"),0)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4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364830</v>
      </c>
      <c r="M345" s="155">
        <f t="shared" ca="1" si="155"/>
        <v>255210</v>
      </c>
      <c r="N345" s="155">
        <f t="shared" ca="1" si="155"/>
        <v>123958.38</v>
      </c>
      <c r="O345" s="155">
        <f t="shared" ref="O345:O353" ca="1" si="156">IF(L345&gt;0,N345*100/L345,0)</f>
        <v>33.977024915714168</v>
      </c>
      <c r="P345" s="155">
        <f t="shared" ref="P345:P353" ca="1" si="157">IF(M345&gt;0,N345*100/M345,0)</f>
        <v>48.571129657928765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364830</v>
      </c>
      <c r="M347" s="93">
        <f t="shared" ca="1" si="158"/>
        <v>255210</v>
      </c>
      <c r="N347" s="93">
        <f t="shared" ca="1" si="158"/>
        <v>123958.38</v>
      </c>
      <c r="O347" s="93">
        <f t="shared" ca="1" si="156"/>
        <v>33.977024915714168</v>
      </c>
      <c r="P347" s="93">
        <f t="shared" ca="1" si="157"/>
        <v>48.571129657928765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59">L349+L350</f>
        <v>364830</v>
      </c>
      <c r="M348" s="466">
        <f t="shared" ca="1" si="159"/>
        <v>255210</v>
      </c>
      <c r="N348" s="466">
        <f t="shared" ca="1" si="159"/>
        <v>123958.38</v>
      </c>
      <c r="O348" s="466">
        <f t="shared" ca="1" si="156"/>
        <v>33.977024915714168</v>
      </c>
      <c r="P348" s="466">
        <f t="shared" ca="1" si="157"/>
        <v>48.571129657928765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IFERROR(__xludf.DUMMYFUNCTION("IMPORTRANGE(""https://docs.google.com/spreadsheets/d/1MeEWN-I1oV_STSDYn1IFDPWt_1FKiwhDph83XaGc0o0/edit?usp=sharing"",""งบพรบ!EW27"")"),364830)</f>
        <v>364830</v>
      </c>
      <c r="M350" s="93">
        <f ca="1">IFERROR(__xludf.DUMMYFUNCTION("IMPORTRANGE(""https://docs.google.com/spreadsheets/d/1MeEWN-I1oV_STSDYn1IFDPWt_1FKiwhDph83XaGc0o0/edit?usp=sharing"",""งบพรบ!FB27"")"),255210)</f>
        <v>255210</v>
      </c>
      <c r="N350" s="93">
        <f ca="1">IFERROR(__xludf.DUMMYFUNCTION("IMPORTRANGE(""https://docs.google.com/spreadsheets/d/1MeEWN-I1oV_STSDYn1IFDPWt_1FKiwhDph83XaGc0o0/edit?usp=sharing"",""งบพรบ!FD27"")"),123958.38)</f>
        <v>123958.38</v>
      </c>
      <c r="O350" s="93">
        <f t="shared" ca="1" si="156"/>
        <v>33.977024915714168</v>
      </c>
      <c r="P350" s="93">
        <f t="shared" ca="1" si="157"/>
        <v>48.571129657928765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0</v>
      </c>
      <c r="M351" s="466">
        <f t="shared" ca="1" si="160"/>
        <v>0</v>
      </c>
      <c r="N351" s="466">
        <f t="shared" ca="1" si="160"/>
        <v>0</v>
      </c>
      <c r="O351" s="466">
        <f t="shared" ca="1" si="156"/>
        <v>0</v>
      </c>
      <c r="P351" s="466">
        <f t="shared" ca="1" si="157"/>
        <v>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IFERROR(__xludf.DUMMYFUNCTION("IMPORTRANGE(""https://docs.google.com/spreadsheets/d/1MeEWN-I1oV_STSDYn1IFDPWt_1FKiwhDph83XaGc0o0/edit?usp=sharing"",""งบพรบ!EZ27"")"),0)</f>
        <v>0</v>
      </c>
      <c r="M353" s="93">
        <f ca="1">IFERROR(__xludf.DUMMYFUNCTION("IMPORTRANGE(""https://docs.google.com/spreadsheets/d/1MeEWN-I1oV_STSDYn1IFDPWt_1FKiwhDph83XaGc0o0/edit?usp=sharing"",""งบพรบ!FC27"")"),0)</f>
        <v>0</v>
      </c>
      <c r="N353" s="93">
        <f ca="1">IFERROR(__xludf.DUMMYFUNCTION("IMPORTRANGE(""https://docs.google.com/spreadsheets/d/1MeEWN-I1oV_STSDYn1IFDPWt_1FKiwhDph83XaGc0o0/edit?usp=sharing"",""งบพรบ!FE27"")"),0)</f>
        <v>0</v>
      </c>
      <c r="O353" s="93">
        <f t="shared" ca="1" si="156"/>
        <v>0</v>
      </c>
      <c r="P353" s="93">
        <f t="shared" ca="1" si="157"/>
        <v>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IFERROR(__xludf.DUMMYFUNCTION("IMPORTRANGE(""https://docs.google.com/spreadsheets/d/1QqKyyYR6Q21VydFLVH3TRQUabQu_ym0Zz7PgGX0-kHA/edit?usp=sharing"",""แผน!EP27"")"),59)</f>
        <v>59</v>
      </c>
      <c r="J355" s="433">
        <f ca="1">J362</f>
        <v>11</v>
      </c>
      <c r="K355" s="434">
        <f ca="1">IF(I355&gt;0,J355*100/I355,0)</f>
        <v>18.64406779661017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IFERROR(__xludf.DUMMYFUNCTION("IMPORTRANGE(""https://docs.google.com/spreadsheets/d/1XWAQStnk-4SwqDmLtmXYiTMKHgktTP8We1SCoS47DrQ/edit?usp=sharing"",""จัดที่ดิน!W27"")"),61)</f>
        <v>61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IFERROR(__xludf.DUMMYFUNCTION("IMPORTRANGE(""https://docs.google.com/spreadsheets/d/1QqKyyYR6Q21VydFLVH3TRQUabQu_ym0Zz7PgGX0-kHA/edit?usp=sharing"",""แผน!EO27"")"),540)</f>
        <v>540</v>
      </c>
      <c r="J359" s="270">
        <f ca="1">IFERROR(__xludf.DUMMYFUNCTION("IMPORTRANGE(""https://docs.google.com/spreadsheets/d/1XWAQStnk-4SwqDmLtmXYiTMKHgktTP8We1SCoS47DrQ/edit?usp=sharing"",""จัดที่ดิน!X27"")"),288.469999999999)</f>
        <v>288.469999999999</v>
      </c>
      <c r="K359" s="466">
        <f t="shared" ca="1" si="161"/>
        <v>53.420370370370186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IFERROR(__xludf.DUMMYFUNCTION("IMPORTRANGE(""https://docs.google.com/spreadsheets/d/1QqKyyYR6Q21VydFLVH3TRQUabQu_ym0Zz7PgGX0-kHA/edit?usp=sharing"",""แผน!EP27"")"),59)</f>
        <v>59</v>
      </c>
      <c r="J360" s="270">
        <f ca="1">IFERROR(__xludf.DUMMYFUNCTION("IMPORTRANGE(""https://docs.google.com/spreadsheets/d/1XWAQStnk-4SwqDmLtmXYiTMKHgktTP8We1SCoS47DrQ/edit?usp=sharing"",""จัดที่ดิน!Y27"")"),41)</f>
        <v>41</v>
      </c>
      <c r="K360" s="466">
        <f t="shared" ca="1" si="161"/>
        <v>69.491525423728817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IFERROR(__xludf.DUMMYFUNCTION("IMPORTRANGE(""https://docs.google.com/spreadsheets/d/1XWAQStnk-4SwqDmLtmXYiTMKHgktTP8We1SCoS47DrQ/edit?usp=sharing"",""จัดที่ดิน!Z27"")"),188.83)</f>
        <v>188.83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IFERROR(__xludf.DUMMYFUNCTION("IMPORTRANGE(""https://docs.google.com/spreadsheets/d/1QqKyyYR6Q21VydFLVH3TRQUabQu_ym0Zz7PgGX0-kHA/edit?usp=sharing"",""แผน!EP27"")"),59)</f>
        <v>59</v>
      </c>
      <c r="J362" s="270">
        <f ca="1">IFERROR(__xludf.DUMMYFUNCTION("IMPORTRANGE(""https://docs.google.com/spreadsheets/d/1XWAQStnk-4SwqDmLtmXYiTMKHgktTP8We1SCoS47DrQ/edit?usp=sharing"",""จัดที่ดิน!AA27"")"),11)</f>
        <v>11</v>
      </c>
      <c r="K362" s="466">
        <f t="shared" ca="1" si="161"/>
        <v>18.64406779661017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IFERROR(__xludf.DUMMYFUNCTION("IMPORTRANGE(""https://docs.google.com/spreadsheets/d/1XWAQStnk-4SwqDmLtmXYiTMKHgktTP8We1SCoS47DrQ/edit?usp=sharing"",""จัดที่ดิน!AB27"")"),41.12)</f>
        <v>41.12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159</v>
      </c>
      <c r="J364" s="447">
        <f t="shared" ca="1" si="162"/>
        <v>28</v>
      </c>
      <c r="K364" s="448">
        <f t="shared" ca="1" si="161"/>
        <v>17.610062893081761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IFERROR(__xludf.DUMMYFUNCTION("IMPORTRANGE(""https://docs.google.com/spreadsheets/d/1QqKyyYR6Q21VydFLVH3TRQUabQu_ym0Zz7PgGX0-kHA/edit?usp=sharing"",""แผน!EJ27"")"),40)</f>
        <v>40</v>
      </c>
      <c r="J365" s="459">
        <f ca="1">J372</f>
        <v>11</v>
      </c>
      <c r="K365" s="460">
        <f t="shared" ca="1" si="161"/>
        <v>27.5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IFERROR(__xludf.DUMMYFUNCTION("IMPORTRANGE(""https://docs.google.com/spreadsheets/d/1XWAQStnk-4SwqDmLtmXYiTMKHgktTP8We1SCoS47DrQ/edit?usp=sharing"",""จัดที่ดิน!E27"")"),58)</f>
        <v>58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IFERROR(__xludf.DUMMYFUNCTION("IMPORTRANGE(""https://docs.google.com/spreadsheets/d/1QqKyyYR6Q21VydFLVH3TRQUabQu_ym0Zz7PgGX0-kHA/edit?usp=sharing"",""แผน!EI27"")"),400)</f>
        <v>400</v>
      </c>
      <c r="J369" s="270">
        <f ca="1">IFERROR(__xludf.DUMMYFUNCTION("IMPORTRANGE(""https://docs.google.com/spreadsheets/d/1XWAQStnk-4SwqDmLtmXYiTMKHgktTP8We1SCoS47DrQ/edit?usp=sharing"",""จัดที่ดิน!F27"")"),241.76)</f>
        <v>241.76</v>
      </c>
      <c r="K369" s="466">
        <f t="shared" ca="1" si="163"/>
        <v>60.44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IFERROR(__xludf.DUMMYFUNCTION("IMPORTRANGE(""https://docs.google.com/spreadsheets/d/1QqKyyYR6Q21VydFLVH3TRQUabQu_ym0Zz7PgGX0-kHA/edit?usp=sharing"",""แผน!EJ27"")"),40)</f>
        <v>40</v>
      </c>
      <c r="J370" s="270">
        <f ca="1">IFERROR(__xludf.DUMMYFUNCTION("IMPORTRANGE(""https://docs.google.com/spreadsheets/d/1XWAQStnk-4SwqDmLtmXYiTMKHgktTP8We1SCoS47DrQ/edit?usp=sharing"",""จัดที่ดิน!G27"")"),41)</f>
        <v>41</v>
      </c>
      <c r="K370" s="466">
        <f t="shared" ca="1" si="163"/>
        <v>102.5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IFERROR(__xludf.DUMMYFUNCTION("IMPORTRANGE(""https://docs.google.com/spreadsheets/d/1XWAQStnk-4SwqDmLtmXYiTMKHgktTP8We1SCoS47DrQ/edit?usp=sharing"",""จัดที่ดิน!H27"")"),188.83)</f>
        <v>188.83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IFERROR(__xludf.DUMMYFUNCTION("IMPORTRANGE(""https://docs.google.com/spreadsheets/d/1QqKyyYR6Q21VydFLVH3TRQUabQu_ym0Zz7PgGX0-kHA/edit?usp=sharing"",""แผน!EJ27"")"),40)</f>
        <v>40</v>
      </c>
      <c r="J372" s="270">
        <f ca="1">IFERROR(__xludf.DUMMYFUNCTION("IMPORTRANGE(""https://docs.google.com/spreadsheets/d/1XWAQStnk-4SwqDmLtmXYiTMKHgktTP8We1SCoS47DrQ/edit?usp=sharing"",""จัดที่ดิน!I27"")"),11)</f>
        <v>11</v>
      </c>
      <c r="K372" s="466">
        <f t="shared" ca="1" si="163"/>
        <v>27.5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IFERROR(__xludf.DUMMYFUNCTION("IMPORTRANGE(""https://docs.google.com/spreadsheets/d/1XWAQStnk-4SwqDmLtmXYiTMKHgktTP8We1SCoS47DrQ/edit?usp=sharing"",""จัดที่ดิน!J27"")"),41.12)</f>
        <v>41.12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IFERROR(__xludf.DUMMYFUNCTION("IMPORTRANGE(""https://docs.google.com/spreadsheets/d/1QqKyyYR6Q21VydFLVH3TRQUabQu_ym0Zz7PgGX0-kHA/edit?usp=sharing"",""แผน!EU27"")"),119)</f>
        <v>119</v>
      </c>
      <c r="J374" s="459">
        <f ca="1">J381</f>
        <v>17</v>
      </c>
      <c r="K374" s="460">
        <f t="shared" ca="1" si="163"/>
        <v>14.285714285714286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IFERROR(__xludf.DUMMYFUNCTION("IMPORTRANGE(""https://docs.google.com/spreadsheets/d/1XWAQStnk-4SwqDmLtmXYiTMKHgktTP8We1SCoS47DrQ/edit?usp=sharing"",""จัดที่ดิน!AH27"")"),3)</f>
        <v>3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IFERROR(__xludf.DUMMYFUNCTION("IMPORTRANGE(""https://docs.google.com/spreadsheets/d/1QqKyyYR6Q21VydFLVH3TRQUabQu_ym0Zz7PgGX0-kHA/edit?usp=sharing"",""แผน!ET27"")"),140)</f>
        <v>140</v>
      </c>
      <c r="J378" s="270">
        <f ca="1">IFERROR(__xludf.DUMMYFUNCTION("IMPORTRANGE(""https://docs.google.com/spreadsheets/d/1XWAQStnk-4SwqDmLtmXYiTMKHgktTP8We1SCoS47DrQ/edit?usp=sharing"",""จัดที่ดิน!AI27"")"),46.71)</f>
        <v>46.71</v>
      </c>
      <c r="K378" s="466">
        <f t="shared" ca="1" si="164"/>
        <v>33.364285714285714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IFERROR(__xludf.DUMMYFUNCTION("IMPORTRANGE(""https://docs.google.com/spreadsheets/d/1QqKyyYR6Q21VydFLVH3TRQUabQu_ym0Zz7PgGX0-kHA/edit?usp=sharing"",""แผน!EU27"")"),119)</f>
        <v>119</v>
      </c>
      <c r="J379" s="270">
        <f ca="1">IFERROR(__xludf.DUMMYFUNCTION("IMPORTRANGE(""https://docs.google.com/spreadsheets/d/1XWAQStnk-4SwqDmLtmXYiTMKHgktTP8We1SCoS47DrQ/edit?usp=sharing"",""จัดที่ดิน!AJ27"")"),17)</f>
        <v>17</v>
      </c>
      <c r="K379" s="466">
        <f t="shared" ca="1" si="164"/>
        <v>14.285714285714286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IFERROR(__xludf.DUMMYFUNCTION("IMPORTRANGE(""https://docs.google.com/spreadsheets/d/1XWAQStnk-4SwqDmLtmXYiTMKHgktTP8We1SCoS47DrQ/edit?usp=sharing"",""จัดที่ดิน!AK27"")"),99.62)</f>
        <v>99.62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IFERROR(__xludf.DUMMYFUNCTION("IMPORTRANGE(""https://docs.google.com/spreadsheets/d/1QqKyyYR6Q21VydFLVH3TRQUabQu_ym0Zz7PgGX0-kHA/edit?usp=sharing"",""แผน!EU27"")"),119)</f>
        <v>119</v>
      </c>
      <c r="J381" s="270">
        <f ca="1">IFERROR(__xludf.DUMMYFUNCTION("IMPORTRANGE(""https://docs.google.com/spreadsheets/d/1XWAQStnk-4SwqDmLtmXYiTMKHgktTP8We1SCoS47DrQ/edit?usp=sharing"",""จัดที่ดิน!AL27"")"),17)</f>
        <v>17</v>
      </c>
      <c r="K381" s="466">
        <f t="shared" ca="1" si="164"/>
        <v>14.285714285714286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IFERROR(__xludf.DUMMYFUNCTION("IMPORTRANGE(""https://docs.google.com/spreadsheets/d/1XWAQStnk-4SwqDmLtmXYiTMKHgktTP8We1SCoS47DrQ/edit?usp=sharing"",""จัดที่ดิน!AM27"")"),99.62)</f>
        <v>99.62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IFERROR(__xludf.DUMMYFUNCTION("IMPORTRANGE(""https://docs.google.com/spreadsheets/d/1QqKyyYR6Q21VydFLVH3TRQUabQu_ym0Zz7PgGX0-kHA/edit?usp=sharing"",""แผน!EW27"")"),20)</f>
        <v>20</v>
      </c>
      <c r="J385" s="469">
        <f ca="1">IFERROR(__xludf.DUMMYFUNCTION("IMPORTRANGE(""https://docs.google.com/spreadsheets/d/1XWAQStnk-4SwqDmLtmXYiTMKHgktTP8We1SCoS47DrQ/edit?usp=sharing"",""จัดที่ดิน!AP27"")"),0)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4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IFERROR(__xludf.DUMMYFUNCTION("IMPORTRANGE(""https://docs.google.com/spreadsheets/d/1MeEWN-I1oV_STSDYn1IFDPWt_1FKiwhDph83XaGc0o0/edit?usp=sharing"",""งบพรบ!FG27"")"),0)</f>
        <v>0</v>
      </c>
      <c r="M394" s="93">
        <f ca="1">IFERROR(__xludf.DUMMYFUNCTION("IMPORTRANGE(""https://docs.google.com/spreadsheets/d/1MeEWN-I1oV_STSDYn1IFDPWt_1FKiwhDph83XaGc0o0/edit?usp=sharing"",""งบพรบ!FL27"")"),0)</f>
        <v>0</v>
      </c>
      <c r="N394" s="93">
        <f ca="1">IFERROR(__xludf.DUMMYFUNCTION("IMPORTRANGE(""https://docs.google.com/spreadsheets/d/1MeEWN-I1oV_STSDYn1IFDPWt_1FKiwhDph83XaGc0o0/edit?usp=sharing"",""งบพรบ!FN27"")"),0)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IFERROR(__xludf.DUMMYFUNCTION("IMPORTRANGE(""https://docs.google.com/spreadsheets/d/1MeEWN-I1oV_STSDYn1IFDPWt_1FKiwhDph83XaGc0o0/edit?usp=sharing"",""งบพรบ!FJ27"")"),0)</f>
        <v>0</v>
      </c>
      <c r="M397" s="93">
        <f ca="1">IFERROR(__xludf.DUMMYFUNCTION("IMPORTRANGE(""https://docs.google.com/spreadsheets/d/1MeEWN-I1oV_STSDYn1IFDPWt_1FKiwhDph83XaGc0o0/edit?usp=sharing"",""งบพรบ!FM27"")"),0)</f>
        <v>0</v>
      </c>
      <c r="N397" s="93">
        <f ca="1">IFERROR(__xludf.DUMMYFUNCTION("IMPORTRANGE(""https://docs.google.com/spreadsheets/d/1MeEWN-I1oV_STSDYn1IFDPWt_1FKiwhDph83XaGc0o0/edit?usp=sharing"",""งบพรบ!FO27"")"),0)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4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IFERROR(__xludf.DUMMYFUNCTION("IMPORTRANGE(""https://docs.google.com/spreadsheets/d/1MeEWN-I1oV_STSDYn1IFDPWt_1FKiwhDph83XaGc0o0/edit?usp=sharing"",""งบพรบ!FQ27"")"),0)</f>
        <v>0</v>
      </c>
      <c r="M407" s="93">
        <f ca="1">IFERROR(__xludf.DUMMYFUNCTION("IMPORTRANGE(""https://docs.google.com/spreadsheets/d/1MeEWN-I1oV_STSDYn1IFDPWt_1FKiwhDph83XaGc0o0/edit?usp=sharing"",""งบพรบ!FV27"")"),0)</f>
        <v>0</v>
      </c>
      <c r="N407" s="93">
        <f ca="1">IFERROR(__xludf.DUMMYFUNCTION("IMPORTRANGE(""https://docs.google.com/spreadsheets/d/1MeEWN-I1oV_STSDYn1IFDPWt_1FKiwhDph83XaGc0o0/edit?usp=sharing"",""งบพรบ!FX27"")"),0)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IFERROR(__xludf.DUMMYFUNCTION("IMPORTRANGE(""https://docs.google.com/spreadsheets/d/1MeEWN-I1oV_STSDYn1IFDPWt_1FKiwhDph83XaGc0o0/edit?usp=sharing"",""งบพรบ!FT27"")"),0)</f>
        <v>0</v>
      </c>
      <c r="M410" s="93">
        <f ca="1">IFERROR(__xludf.DUMMYFUNCTION("IMPORTRANGE(""https://docs.google.com/spreadsheets/d/1MeEWN-I1oV_STSDYn1IFDPWt_1FKiwhDph83XaGc0o0/edit?usp=sharing"",""งบพรบ!FW27"")"),0)</f>
        <v>0</v>
      </c>
      <c r="N410" s="93">
        <f ca="1">IFERROR(__xludf.DUMMYFUNCTION("IMPORTRANGE(""https://docs.google.com/spreadsheets/d/1MeEWN-I1oV_STSDYn1IFDPWt_1FKiwhDph83XaGc0o0/edit?usp=sharing"",""งบพรบ!FY27"")"),0)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1322929</v>
      </c>
      <c r="M414" s="517">
        <f t="shared" si="181"/>
        <v>0</v>
      </c>
      <c r="N414" s="517">
        <f t="shared" si="181"/>
        <v>406111</v>
      </c>
      <c r="O414" s="517">
        <f ca="1">IF(L414&gt;0,N414*100/L414,0)</f>
        <v>30.697868139560022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50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182640</v>
      </c>
      <c r="M419" s="155">
        <f t="shared" si="184"/>
        <v>0</v>
      </c>
      <c r="N419" s="155">
        <f t="shared" si="184"/>
        <v>25336</v>
      </c>
      <c r="O419" s="155">
        <f t="shared" ref="O419:O424" ca="1" si="185">IF(L419&gt;0,N419*100/L419,0)</f>
        <v>13.87209811651336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182640</v>
      </c>
      <c r="M421" s="93">
        <f t="shared" si="187"/>
        <v>0</v>
      </c>
      <c r="N421" s="93">
        <f t="shared" si="187"/>
        <v>25336</v>
      </c>
      <c r="O421" s="93">
        <f t="shared" ca="1" si="185"/>
        <v>13.87209811651336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8">L423+L424</f>
        <v>182640</v>
      </c>
      <c r="M422" s="466">
        <f t="shared" si="188"/>
        <v>0</v>
      </c>
      <c r="N422" s="466">
        <f t="shared" si="188"/>
        <v>25336</v>
      </c>
      <c r="O422" s="466">
        <f t="shared" ca="1" si="185"/>
        <v>13.87209811651336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IFERROR(__xludf.DUMMYFUNCTION("IMPORTRANGE(""https://docs.google.com/spreadsheets/d/1QqKyyYR6Q21VydFLVH3TRQUabQu_ym0Zz7PgGX0-kHA/edit?usp=sharing"",""แผน!EY27"")"),182640)</f>
        <v>182640</v>
      </c>
      <c r="M424" s="93">
        <v>0</v>
      </c>
      <c r="N424" s="93">
        <f>N425+N426+N427+N428</f>
        <v>25336</v>
      </c>
      <c r="O424" s="93">
        <f t="shared" ca="1" si="185"/>
        <v>13.87209811651336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v>24136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v>1200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50</v>
      </c>
      <c r="J433" s="648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t="shared" ref="I434:J434" ca="1" si="193">I438+I440</f>
        <v>2</v>
      </c>
      <c r="J434" s="648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IFERROR(__xludf.DUMMYFUNCTION("IMPORTRANGE(""https://docs.google.com/spreadsheets/d/1QqKyyYR6Q21VydFLVH3TRQUabQu_ym0Zz7PgGX0-kHA/edit?usp=sharing"",""แผน!FC27"")"),50)</f>
        <v>50</v>
      </c>
      <c r="J435" s="549">
        <v>50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IFERROR(__xludf.DUMMYFUNCTION("IMPORTRANGE(""https://docs.google.com/spreadsheets/d/1QqKyyYR6Q21VydFLVH3TRQUabQu_ym0Zz7PgGX0-kHA/edit?usp=sharing"",""แผน!FD27"")"),30)</f>
        <v>30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IFERROR(__xludf.DUMMYFUNCTION("IMPORTRANGE(""https://docs.google.com/spreadsheets/d/1QqKyyYR6Q21VydFLVH3TRQUabQu_ym0Zz7PgGX0-kHA/edit?usp=sharing"",""แผน!FE27"")"),1)</f>
        <v>1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IFERROR(__xludf.DUMMYFUNCTION("IMPORTRANGE(""https://docs.google.com/spreadsheets/d/1QqKyyYR6Q21VydFLVH3TRQUabQu_ym0Zz7PgGX0-kHA/edit?usp=sharing"",""แผน!FF27"")"),20)</f>
        <v>20</v>
      </c>
      <c r="J439" s="549">
        <v>0</v>
      </c>
      <c r="K439" s="466">
        <f t="shared" ca="1" si="194"/>
        <v>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IFERROR(__xludf.DUMMYFUNCTION("IMPORTRANGE(""https://docs.google.com/spreadsheets/d/1QqKyyYR6Q21VydFLVH3TRQUabQu_ym0Zz7PgGX0-kHA/edit?usp=sharing"",""แผน!FG27"")"),1)</f>
        <v>1</v>
      </c>
      <c r="J440" s="215">
        <v>0</v>
      </c>
      <c r="K440" s="466">
        <f t="shared" ca="1" si="194"/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IFERROR(__xludf.DUMMYFUNCTION("IMPORTRANGE(""https://docs.google.com/spreadsheets/d/1QqKyyYR6Q21VydFLVH3TRQUabQu_ym0Zz7PgGX0-kHA/edit?usp=sharing"",""แผน!FH27"")"),0)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40</v>
      </c>
      <c r="J442" s="555">
        <f t="shared" si="195"/>
        <v>40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150</v>
      </c>
      <c r="J443" s="533">
        <f t="shared" si="196"/>
        <v>150</v>
      </c>
      <c r="K443" s="534">
        <f t="shared" ca="1" si="194"/>
        <v>100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398000</v>
      </c>
      <c r="M444" s="195">
        <f t="shared" si="197"/>
        <v>0</v>
      </c>
      <c r="N444" s="195">
        <f t="shared" si="197"/>
        <v>282850</v>
      </c>
      <c r="O444" s="195">
        <f t="shared" ref="O444:O449" ca="1" si="198">IF(L444&gt;0,N444*100/L444,0)</f>
        <v>71.0678391959799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0"/>
        <v>398000</v>
      </c>
      <c r="M446" s="93">
        <f t="shared" si="200"/>
        <v>0</v>
      </c>
      <c r="N446" s="93">
        <f t="shared" si="200"/>
        <v>282850</v>
      </c>
      <c r="O446" s="93">
        <f t="shared" ca="1" si="198"/>
        <v>71.0678391959799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1">L448+L449</f>
        <v>398000</v>
      </c>
      <c r="M447" s="466">
        <f t="shared" si="201"/>
        <v>0</v>
      </c>
      <c r="N447" s="466">
        <f t="shared" si="201"/>
        <v>282850</v>
      </c>
      <c r="O447" s="466">
        <f t="shared" ca="1" si="198"/>
        <v>71.0678391959799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IFERROR(__xludf.DUMMYFUNCTION("IMPORTRANGE(""https://docs.google.com/spreadsheets/d/1QqKyyYR6Q21VydFLVH3TRQUabQu_ym0Zz7PgGX0-kHA/edit?usp=sharing"",""แผน!FJ27"")"),398000)</f>
        <v>398000</v>
      </c>
      <c r="M449" s="93">
        <v>0</v>
      </c>
      <c r="N449" s="93">
        <f>N450+N451+N452+N453</f>
        <v>282850</v>
      </c>
      <c r="O449" s="93">
        <f t="shared" ca="1" si="198"/>
        <v>71.0678391959799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v>54400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>
        <v>150000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v>52000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v>26450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IFERROR(__xludf.DUMMYFUNCTION("IMPORTRANGE(""https://docs.google.com/spreadsheets/d/1QqKyyYR6Q21VydFLVH3TRQUabQu_ym0Zz7PgGX0-kHA/edit?usp=sharing"",""แผน!FN27"")"),40)</f>
        <v>40</v>
      </c>
      <c r="J460" s="215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IFERROR(__xludf.DUMMYFUNCTION("IMPORTRANGE(""https://docs.google.com/spreadsheets/d/1QqKyyYR6Q21VydFLVH3TRQUabQu_ym0Zz7PgGX0-kHA/edit?usp=sharing"",""แผน!FO27"")"),150)</f>
        <v>150</v>
      </c>
      <c r="J462" s="215">
        <v>150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IFERROR(__xludf.DUMMYFUNCTION("IMPORTRANGE(""https://docs.google.com/spreadsheets/d/1QqKyyYR6Q21VydFLVH3TRQUabQu_ym0Zz7PgGX0-kHA/edit?usp=sharing"",""แผน!FO27"")"),150)</f>
        <v>150</v>
      </c>
      <c r="J463" s="215">
        <v>150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IFERROR(__xludf.DUMMYFUNCTION("IMPORTRANGE(""https://docs.google.com/spreadsheets/d/1QqKyyYR6Q21VydFLVH3TRQUabQu_ym0Zz7PgGX0-kHA/edit?usp=sharing"",""แผน!FN27"")"),40)</f>
        <v>40</v>
      </c>
      <c r="J464" s="215">
        <v>40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IFERROR(__xludf.DUMMYFUNCTION("IMPORTRANGE(""https://docs.google.com/spreadsheets/d/1QqKyyYR6Q21VydFLVH3TRQUabQu_ym0Zz7PgGX0-kHA/edit?usp=sharing"",""แผน!FX27"")"),31)</f>
        <v>31</v>
      </c>
      <c r="J465" s="555">
        <f>J485+J489+J492</f>
        <v>30</v>
      </c>
      <c r="K465" s="556">
        <f t="shared" ref="K465:K466" ca="1" si="205">IF(I465&gt;0,J465*100/I465,0)</f>
        <v>96.774193548387103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IFERROR(__xludf.DUMMYFUNCTION("IMPORTRANGE(""https://docs.google.com/spreadsheets/d/1QqKyyYR6Q21VydFLVH3TRQUabQu_ym0Zz7PgGX0-kHA/edit?usp=sharing"",""แผน!FW27"")"),300)</f>
        <v>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260423</v>
      </c>
      <c r="M467" s="195">
        <f t="shared" si="206"/>
        <v>0</v>
      </c>
      <c r="N467" s="195">
        <f t="shared" si="206"/>
        <v>24435</v>
      </c>
      <c r="O467" s="195">
        <f t="shared" ref="O467:O472" ca="1" si="207">IF(L467&gt;0,N467*100/L467,0)</f>
        <v>9.382811810016781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09"/>
        <v>260423</v>
      </c>
      <c r="M469" s="93">
        <f t="shared" si="209"/>
        <v>0</v>
      </c>
      <c r="N469" s="93">
        <f t="shared" si="209"/>
        <v>24435</v>
      </c>
      <c r="O469" s="93">
        <f t="shared" ca="1" si="207"/>
        <v>9.382811810016781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0">L471+L472</f>
        <v>260423</v>
      </c>
      <c r="M470" s="466">
        <f t="shared" si="210"/>
        <v>0</v>
      </c>
      <c r="N470" s="466">
        <f t="shared" si="210"/>
        <v>24435</v>
      </c>
      <c r="O470" s="466">
        <f t="shared" ca="1" si="207"/>
        <v>9.382811810016781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IFERROR(__xludf.DUMMYFUNCTION("IMPORTRANGE(""https://docs.google.com/spreadsheets/d/1QqKyyYR6Q21VydFLVH3TRQUabQu_ym0Zz7PgGX0-kHA/edit?usp=sharing"",""แผน!FS27"")"),260423)</f>
        <v>260423</v>
      </c>
      <c r="M472" s="93">
        <v>0</v>
      </c>
      <c r="N472" s="93">
        <f>N473+N474+N475+N476</f>
        <v>24435</v>
      </c>
      <c r="O472" s="93">
        <f t="shared" ca="1" si="207"/>
        <v>9.382811810016781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>
        <v>18835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v>5600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IFERROR(__xludf.DUMMYFUNCTION("IMPORTRANGE(""https://docs.google.com/spreadsheets/d/1QqKyyYR6Q21VydFLVH3TRQUabQu_ym0Zz7PgGX0-kHA/edit?usp=sharing"",""แผน!FY27"")"),270)</f>
        <v>270</v>
      </c>
      <c r="J483" s="215">
        <v>200</v>
      </c>
      <c r="K483" s="466">
        <f ca="1">IF(I483&gt;0,J483*100/I483,0)</f>
        <v>74.074074074074076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IFERROR(__xludf.DUMMYFUNCTION("IMPORTRANGE(""https://docs.google.com/spreadsheets/d/1QqKyyYR6Q21VydFLVH3TRQUabQu_ym0Zz7PgGX0-kHA/edit?usp=sharing"",""แผน!FZ27"")"),27)</f>
        <v>27</v>
      </c>
      <c r="J485" s="215">
        <v>30</v>
      </c>
      <c r="K485" s="466">
        <f ca="1">IF(I485&gt;0,J485*100/I485,0)</f>
        <v>111.11111111111111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IFERROR(__xludf.DUMMYFUNCTION("IMPORTRANGE(""https://docs.google.com/spreadsheets/d/1QqKyyYR6Q21VydFLVH3TRQUabQu_ym0Zz7PgGX0-kHA/edit?usp=sharing"",""แผน!GA27"")"),30)</f>
        <v>30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IFERROR(__xludf.DUMMYFUNCTION("IMPORTRANGE(""https://docs.google.com/spreadsheets/d/1QqKyyYR6Q21VydFLVH3TRQUabQu_ym0Zz7PgGX0-kHA/edit?usp=sharing"",""แผน!GB27"")"),3)</f>
        <v>3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IFERROR(__xludf.DUMMYFUNCTION("IMPORTRANGE(""https://docs.google.com/spreadsheets/d/1QqKyyYR6Q21VydFLVH3TRQUabQu_ym0Zz7PgGX0-kHA/edit?usp=sharing"",""แผน!GC27"")"),1)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IFERROR(__xludf.DUMMYFUNCTION("IMPORTRANGE(""https://docs.google.com/spreadsheets/d/1QqKyyYR6Q21VydFLVH3TRQUabQu_ym0Zz7PgGX0-kHA/edit?usp=sharing"",""แผน!FY27"")"),270)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IFERROR(__xludf.DUMMYFUNCTION("IMPORTRANGE(""https://docs.google.com/spreadsheets/d/1QqKyyYR6Q21VydFLVH3TRQUabQu_ym0Zz7PgGX0-kHA/edit?usp=sharing"",""แผน!GA27"")"),30)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6">L503+L504</f>
        <v>0</v>
      </c>
      <c r="M502" s="614">
        <f t="shared" si="216"/>
        <v>0</v>
      </c>
      <c r="N502" s="614">
        <f t="shared" si="216"/>
        <v>0</v>
      </c>
      <c r="O502" s="614">
        <f t="shared" ref="O502:O507" si="217">IF(L502&gt;0,N502*100/L502,0)</f>
        <v>0</v>
      </c>
      <c r="P502" s="614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6"/>
      <c r="D505" s="853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853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 hidden="1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5">I537</f>
        <v>0</v>
      </c>
      <c r="J522" s="675">
        <f t="shared" ca="1" si="225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IFERROR(__xludf.DUMMYFUNCTION("IMPORTRANGE(""https://docs.google.com/spreadsheets/d/1QqKyyYR6Q21VydFLVH3TRQUabQu_ym0Zz7PgGX0-kHA/edit?usp=sharing"",""แผน!GU27"")"),0)</f>
        <v>0</v>
      </c>
      <c r="J537" s="648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 hidden="1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IFERROR(__xludf.DUMMYFUNCTION("IMPORTRANGE(""https://docs.google.com/spreadsheets/d/1QqKyyYR6Q21VydFLVH3TRQUabQu_ym0Zz7PgGX0-kHA/edit?usp=sharing"",""แผน!GV27"")"),0)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 hidden="1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IFERROR(__xludf.DUMMYFUNCTION("IMPORTRANGE(""https://docs.google.com/spreadsheets/d/1QqKyyYR6Q21VydFLVH3TRQUabQu_ym0Zz7PgGX0-kHA/edit?usp=sharing"",""แผน!GW27"")"),0)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 hidden="1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IFERROR(__xludf.DUMMYFUNCTION("IMPORTRANGE(""https://docs.google.com/spreadsheets/d/1QqKyyYR6Q21VydFLVH3TRQUabQu_ym0Zz7PgGX0-kHA/edit?usp=sharing"",""แผน!GX27"")"),0)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 hidden="1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IFERROR(__xludf.DUMMYFUNCTION("IMPORTRANGE(""https://docs.google.com/spreadsheets/d/1QqKyyYR6Q21VydFLVH3TRQUabQu_ym0Zz7PgGX0-kHA/edit?usp=sharing"",""แผน!GY27"")"),0)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 hidden="1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IFERROR(__xludf.DUMMYFUNCTION("IMPORTRANGE(""https://docs.google.com/spreadsheets/d/1QqKyyYR6Q21VydFLVH3TRQUabQu_ym0Zz7PgGX0-kHA/edit?usp=sharing"",""แผน!GZ27"")"),0)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5">I559</f>
        <v>25487</v>
      </c>
      <c r="J543" s="654">
        <f t="shared" si="235"/>
        <v>0</v>
      </c>
      <c r="K543" s="655">
        <f t="shared" ca="1" si="234"/>
        <v>0</v>
      </c>
      <c r="L543" s="637"/>
      <c r="M543" s="637"/>
      <c r="N543" s="637"/>
      <c r="O543" s="637"/>
      <c r="P543" s="637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6">L545+L546</f>
        <v>423266</v>
      </c>
      <c r="M544" s="155">
        <f t="shared" si="236"/>
        <v>0</v>
      </c>
      <c r="N544" s="155">
        <f t="shared" si="236"/>
        <v>70490</v>
      </c>
      <c r="O544" s="155">
        <f t="shared" ref="O544:O549" ca="1" si="237">IF(L544&gt;0,N544*100/L544,0)</f>
        <v>16.653829979256543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39"/>
        <v>423266</v>
      </c>
      <c r="M546" s="93">
        <f t="shared" si="240"/>
        <v>0</v>
      </c>
      <c r="N546" s="93">
        <f t="shared" si="240"/>
        <v>70490</v>
      </c>
      <c r="O546" s="93">
        <f t="shared" ca="1" si="237"/>
        <v>16.653829979256543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1">L548+L549</f>
        <v>423266</v>
      </c>
      <c r="M547" s="466">
        <f t="shared" si="241"/>
        <v>0</v>
      </c>
      <c r="N547" s="466">
        <f t="shared" si="241"/>
        <v>70490</v>
      </c>
      <c r="O547" s="466">
        <f t="shared" ca="1" si="237"/>
        <v>16.653829979256543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IFERROR(__xludf.DUMMYFUNCTION("IMPORTRANGE(""https://docs.google.com/spreadsheets/d/1QqKyyYR6Q21VydFLVH3TRQUabQu_ym0Zz7PgGX0-kHA/edit?usp=sharing"",""แผน!HB27"")"),423266)</f>
        <v>423266</v>
      </c>
      <c r="M549" s="93">
        <v>0</v>
      </c>
      <c r="N549" s="93">
        <f>N550+N551+N552+N553+N554</f>
        <v>70490</v>
      </c>
      <c r="O549" s="93">
        <f t="shared" ca="1" si="237"/>
        <v>16.653829979256543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801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801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801">
        <v>52000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801">
        <v>18490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5">I576</f>
        <v>25487</v>
      </c>
      <c r="J559" s="675">
        <f t="shared" si="245"/>
        <v>0</v>
      </c>
      <c r="K559" s="644">
        <f t="shared" ref="K559:K561" ca="1" si="246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9"/>
      <c r="H560" s="734" t="s">
        <v>46</v>
      </c>
      <c r="I560" s="193">
        <f ca="1">IFERROR(__xludf.DUMMYFUNCTION("IMPORTRANGE(""https://docs.google.com/spreadsheets/d/1QqKyyYR6Q21VydFLVH3TRQUabQu_ym0Zz7PgGX0-kHA/edit?usp=sharing"",""แผน!HH27"")"),25487)</f>
        <v>25487</v>
      </c>
      <c r="J560" s="193">
        <f t="shared" ref="J560:J561" si="247">J562+J564+J566</f>
        <v>10591</v>
      </c>
      <c r="K560" s="380">
        <f t="shared" ca="1" si="246"/>
        <v>41.554517989563308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9"/>
      <c r="H561" s="734" t="s">
        <v>34</v>
      </c>
      <c r="I561" s="193">
        <f ca="1">IFERROR(__xludf.DUMMYFUNCTION("IMPORTRANGE(""https://docs.google.com/spreadsheets/d/1QqKyyYR6Q21VydFLVH3TRQUabQu_ym0Zz7PgGX0-kHA/edit?usp=sharing"",""แผน!HG27"")"),3299)</f>
        <v>3299</v>
      </c>
      <c r="J561" s="193">
        <f t="shared" si="247"/>
        <v>1206</v>
      </c>
      <c r="K561" s="380">
        <f t="shared" ca="1" si="246"/>
        <v>36.556532282509849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v>10455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v>1189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v>27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v>5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v>109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v>12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9"/>
      <c r="H568" s="734" t="s">
        <v>46</v>
      </c>
      <c r="I568" s="193">
        <f ca="1">IFERROR(__xludf.DUMMYFUNCTION("IMPORTRANGE(""https://docs.google.com/spreadsheets/d/1QqKyyYR6Q21VydFLVH3TRQUabQu_ym0Zz7PgGX0-kHA/edit?usp=sharing"",""แผน!HH27"")"),25487)</f>
        <v>25487</v>
      </c>
      <c r="J568" s="648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9"/>
      <c r="H569" s="734" t="s">
        <v>34</v>
      </c>
      <c r="I569" s="193">
        <f ca="1">IFERROR(__xludf.DUMMYFUNCTION("IMPORTRANGE(""https://docs.google.com/spreadsheets/d/1QqKyyYR6Q21VydFLVH3TRQUabQu_ym0Zz7PgGX0-kHA/edit?usp=sharing"",""แผน!HG27"")"),3299)</f>
        <v>3299</v>
      </c>
      <c r="J569" s="648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9"/>
      <c r="H576" s="734" t="s">
        <v>46</v>
      </c>
      <c r="I576" s="193">
        <f ca="1">IFERROR(__xludf.DUMMYFUNCTION("IMPORTRANGE(""https://docs.google.com/spreadsheets/d/1QqKyyYR6Q21VydFLVH3TRQUabQu_ym0Zz7PgGX0-kHA/edit?usp=sharing"",""แผน!HH27"")"),25487)</f>
        <v>25487</v>
      </c>
      <c r="J576" s="648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9"/>
      <c r="H577" s="734" t="s">
        <v>34</v>
      </c>
      <c r="I577" s="193">
        <f ca="1">IFERROR(__xludf.DUMMYFUNCTION("IMPORTRANGE(""https://docs.google.com/spreadsheets/d/1QqKyyYR6Q21VydFLVH3TRQUabQu_ym0Zz7PgGX0-kHA/edit?usp=sharing"",""แผน!HG27"")"),3299)</f>
        <v>3299</v>
      </c>
      <c r="J577" s="648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3">I593</f>
        <v>3071.82</v>
      </c>
      <c r="J592" s="675">
        <f t="shared" si="253"/>
        <v>0</v>
      </c>
      <c r="K592" s="644">
        <f t="shared" ref="K592:K594" ca="1" si="254">IF(I592&gt;0,J592*100/I592,0)</f>
        <v>0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IFERROR(__xludf.DUMMYFUNCTION("IMPORTRANGE(""https://docs.google.com/spreadsheets/d/1QqKyyYR6Q21VydFLVH3TRQUabQu_ym0Zz7PgGX0-kHA/edit?usp=sharing"",""แผน!HJ27"")"),3071.82)</f>
        <v>3071.82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IFERROR(__xludf.DUMMYFUNCTION("IMPORTRANGE(""https://docs.google.com/spreadsheets/d/1QqKyyYR6Q21VydFLVH3TRQUabQu_ym0Zz7PgGX0-kHA/edit?usp=sharing"",""แผน!HI27"")"),413)</f>
        <v>413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8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59">J614+J616</f>
        <v>0</v>
      </c>
      <c r="K612" s="684">
        <f t="shared" si="258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59"/>
        <v>0</v>
      </c>
      <c r="K613" s="684">
        <f t="shared" si="258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IFERROR(__xludf.DUMMYFUNCTION("IMPORTRANGE(""https://docs.google.com/spreadsheets/d/1QqKyyYR6Q21VydFLVH3TRQUabQu_ym0Zz7PgGX0-kHA/edit?usp=sharing"",""แผน!HL27"")"),98)</f>
        <v>98</v>
      </c>
      <c r="J620" s="695">
        <f t="shared" ref="J620:J621" si="260">J622+J624+J626</f>
        <v>0</v>
      </c>
      <c r="K620" s="696">
        <f t="shared" ref="K620:K621" ca="1" si="261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IFERROR(__xludf.DUMMYFUNCTION("IMPORTRANGE(""https://docs.google.com/spreadsheets/d/1QqKyyYR6Q21VydFLVH3TRQUabQu_ym0Zz7PgGX0-kHA/edit?usp=sharing"",""แผน!HK27"")"),6)</f>
        <v>6</v>
      </c>
      <c r="J621" s="695">
        <f t="shared" si="260"/>
        <v>0</v>
      </c>
      <c r="K621" s="696">
        <f t="shared" ca="1" si="261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 hidden="1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262">I651</f>
        <v>0</v>
      </c>
      <c r="J628" s="708">
        <f t="shared" ca="1" si="262"/>
        <v>0</v>
      </c>
      <c r="K628" s="709">
        <f ca="1">IF(I628&gt;0,J628*100/I628,0)</f>
        <v>0</v>
      </c>
      <c r="L628" s="710"/>
      <c r="M628" s="710"/>
      <c r="N628" s="710"/>
      <c r="O628" s="710"/>
      <c r="P628" s="710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 hidden="1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 hidden="1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7">L633+L634</f>
        <v>0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 hidden="1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 hidden="1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 hidden="1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 hidden="1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v>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 hidden="1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 hidden="1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 hidden="1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IFERROR(__xludf.DUMMYFUNCTION("IMPORTRANGE(""https://docs.google.com/spreadsheets/d/1QqKyyYR6Q21VydFLVH3TRQUabQu_ym0Zz7PgGX0-kHA/edit?usp=sharing"",""แผน!HR27"")"),0)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 hidden="1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IFERROR(__xludf.DUMMYFUNCTION("IMPORTRANGE(""https://docs.google.com/spreadsheets/d/1QqKyyYR6Q21VydFLVH3TRQUabQu_ym0Zz7PgGX0-kHA/edit?usp=sharing"",""แผน!HR27"")"),0)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 hidden="1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IFERROR(__xludf.DUMMYFUNCTION("IMPORTRANGE(""https://docs.google.com/spreadsheets/d/1XWAQStnk-4SwqDmLtmXYiTMKHgktTP8We1SCoS47DrQ/edit?usp=sharing"",""จัดที่ดิน!AS27"")"),0)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 hidden="1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IFERROR(__xludf.DUMMYFUNCTION("IMPORTRANGE(""https://docs.google.com/spreadsheets/d/1XWAQStnk-4SwqDmLtmXYiTMKHgktTP8We1SCoS47DrQ/edit?usp=sharing"",""จัดที่ดิน!AT27"")"),0)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 hidden="1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IFERROR(__xludf.DUMMYFUNCTION("IMPORTRANGE(""https://docs.google.com/spreadsheets/d/1QqKyyYR6Q21VydFLVH3TRQUabQu_ym0Zz7PgGX0-kHA/edit?usp=sharing"",""แผน!HS27"")"),0)</f>
        <v>0</v>
      </c>
      <c r="J647" s="270">
        <f ca="1">IFERROR(__xludf.DUMMYFUNCTION("IMPORTRANGE(""https://docs.google.com/spreadsheets/d/1XWAQStnk-4SwqDmLtmXYiTMKHgktTP8We1SCoS47DrQ/edit?usp=sharing"",""จัดที่ดิน!AU27"")"),1)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 hidden="1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IFERROR(__xludf.DUMMYFUNCTION("IMPORTRANGE(""https://docs.google.com/spreadsheets/d/1XWAQStnk-4SwqDmLtmXYiTMKHgktTP8We1SCoS47DrQ/edit?usp=sharing"",""จัดที่ดิน!AV27"")"),0.53)</f>
        <v>0.53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 hidden="1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IFERROR(__xludf.DUMMYFUNCTION("IMPORTRANGE(""https://docs.google.com/spreadsheets/d/1QqKyyYR6Q21VydFLVH3TRQUabQu_ym0Zz7PgGX0-kHA/edit?usp=sharing"",""แผน!HS27"")"),0)</f>
        <v>0</v>
      </c>
      <c r="J649" s="270">
        <f ca="1">IFERROR(__xludf.DUMMYFUNCTION("IMPORTRANGE(""https://docs.google.com/spreadsheets/d/1XWAQStnk-4SwqDmLtmXYiTMKHgktTP8We1SCoS47DrQ/edit?usp=sharing"",""จัดที่ดิน!AW27"")"),0)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 hidden="1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IFERROR(__xludf.DUMMYFUNCTION("IMPORTRANGE(""https://docs.google.com/spreadsheets/d/1XWAQStnk-4SwqDmLtmXYiTMKHgktTP8We1SCoS47DrQ/edit?usp=sharing"",""จัดที่ดิน!AX27"")"),0)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 hidden="1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IFERROR(__xludf.DUMMYFUNCTION("IMPORTRANGE(""https://docs.google.com/spreadsheets/d/1QqKyyYR6Q21VydFLVH3TRQUabQu_ym0Zz7PgGX0-kHA/edit?usp=sharing"",""แผน!HS27"")"),0)</f>
        <v>0</v>
      </c>
      <c r="J651" s="270">
        <f ca="1">IFERROR(__xludf.DUMMYFUNCTION("IMPORTRANGE(""https://docs.google.com/spreadsheets/d/1XWAQStnk-4SwqDmLtmXYiTMKHgktTP8We1SCoS47DrQ/edit?usp=sharing"",""จัดที่ดิน!AY27"")"),0)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 hidden="1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IFERROR(__xludf.DUMMYFUNCTION("IMPORTRANGE(""https://docs.google.com/spreadsheets/d/1XWAQStnk-4SwqDmLtmXYiTMKHgktTP8We1SCoS47DrQ/edit?usp=sharing"",""จัดที่ดิน!AZ27"")"),0)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2">I669</f>
        <v>200</v>
      </c>
      <c r="J654" s="675">
        <f t="shared" si="27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18400</v>
      </c>
      <c r="M655" s="195">
        <f t="shared" si="273"/>
        <v>0</v>
      </c>
      <c r="N655" s="195">
        <f t="shared" si="273"/>
        <v>2000</v>
      </c>
      <c r="O655" s="195">
        <f t="shared" ref="O655:O660" ca="1" si="274">IF(L655&gt;0,N655*100/L655,0)</f>
        <v>10.869565217391305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6"/>
        <v>18400</v>
      </c>
      <c r="M657" s="93">
        <f t="shared" si="276"/>
        <v>0</v>
      </c>
      <c r="N657" s="93">
        <f t="shared" si="276"/>
        <v>2000</v>
      </c>
      <c r="O657" s="93">
        <f t="shared" ca="1" si="274"/>
        <v>10.869565217391305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7">L659+L660</f>
        <v>18400</v>
      </c>
      <c r="M658" s="466">
        <f t="shared" si="277"/>
        <v>0</v>
      </c>
      <c r="N658" s="466">
        <f t="shared" si="277"/>
        <v>2000</v>
      </c>
      <c r="O658" s="466">
        <f t="shared" ca="1" si="274"/>
        <v>10.869565217391305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IFERROR(__xludf.DUMMYFUNCTION("IMPORTRANGE(""https://docs.google.com/spreadsheets/d/1QqKyyYR6Q21VydFLVH3TRQUabQu_ym0Zz7PgGX0-kHA/edit?usp=sharing"",""แผน!HV27"")"),18400)</f>
        <v>18400</v>
      </c>
      <c r="M660" s="93">
        <v>0</v>
      </c>
      <c r="N660" s="93">
        <f>N661+N662+N663+N664</f>
        <v>2000</v>
      </c>
      <c r="O660" s="93">
        <f t="shared" ca="1" si="274"/>
        <v>10.869565217391305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v>2000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IFERROR(__xludf.DUMMYFUNCTION("IMPORTRANGE(""https://docs.google.com/spreadsheets/d/1QqKyyYR6Q21VydFLVH3TRQUabQu_ym0Zz7PgGX0-kHA/edit?usp=sharing"",""แผน!IA27"")"),200)</f>
        <v>200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IFERROR(__xludf.DUMMYFUNCTION("IMPORTRANGE(""https://docs.google.com/spreadsheets/d/1QqKyyYR6Q21VydFLVH3TRQUabQu_ym0Zz7PgGX0-kHA/edit?usp=sharing"",""แผน!HZ27"")"),4)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IFERROR(__xludf.DUMMYFUNCTION("IMPORTRANGE(""https://docs.google.com/spreadsheets/d/1QqKyyYR6Q21VydFLVH3TRQUabQu_ym0Zz7PgGX0-kHA/edit?usp=sharing"",""แผน!HZ27"")"),4)</f>
        <v>4</v>
      </c>
      <c r="J671" s="215">
        <v>4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646.95000000000005</v>
      </c>
      <c r="K672" s="466">
        <f t="shared" ref="K672:K675" ca="1" si="281">IF(I$669&gt;0,J672*100/I$669,0)</f>
        <v>323.47500000000002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IFERROR(__xludf.DUMMYFUNCTION("IMPORTRANGE(""https://docs.google.com/spreadsheets/d/1QqKyyYR6Q21VydFLVH3TRQUabQu_ym0Zz7PgGX0-kHA/edit?usp=sharing"",""แผน!IB27"")"),0)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40200</v>
      </c>
      <c r="M685" s="195">
        <f t="shared" si="282"/>
        <v>0</v>
      </c>
      <c r="N685" s="195">
        <f t="shared" si="282"/>
        <v>1000</v>
      </c>
      <c r="O685" s="195">
        <f t="shared" ref="O685:O688" ca="1" si="283">IF(L685&gt;0,N685*100/L685,0)</f>
        <v>2.4875621890547261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5"/>
        <v>40200</v>
      </c>
      <c r="M687" s="93">
        <f t="shared" si="285"/>
        <v>0</v>
      </c>
      <c r="N687" s="93">
        <f t="shared" si="285"/>
        <v>1000</v>
      </c>
      <c r="O687" s="93">
        <f t="shared" ca="1" si="283"/>
        <v>2.4875621890547261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6">L689+L690</f>
        <v>40200</v>
      </c>
      <c r="M688" s="466">
        <f t="shared" si="286"/>
        <v>0</v>
      </c>
      <c r="N688" s="466">
        <f t="shared" si="286"/>
        <v>1000</v>
      </c>
      <c r="O688" s="466">
        <f t="shared" ca="1" si="283"/>
        <v>2.4875621890547261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IFERROR(__xludf.DUMMYFUNCTION("IMPORTRANGE(""https://docs.google.com/spreadsheets/d/1QqKyyYR6Q21VydFLVH3TRQUabQu_ym0Zz7PgGX0-kHA/edit?usp=sharing"",""แผน!HW27"")"),40200)</f>
        <v>40200</v>
      </c>
      <c r="M690" s="93">
        <v>0</v>
      </c>
      <c r="N690" s="93">
        <f>N691+N692+N693+N694</f>
        <v>1000</v>
      </c>
      <c r="O690" s="93">
        <f ca="1">IF(L690&gt;0,N690*100/L690,0)</f>
        <v>2.4875621890547261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1000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IFERROR(__xludf.DUMMYFUNCTION("IMPORTRANGE(""https://docs.google.com/spreadsheets/d/1QqKyyYR6Q21VydFLVH3TRQUabQu_ym0Zz7PgGX0-kHA/edit?usp=sharing"",""แผน!IC27"")"),0)</f>
        <v>0</v>
      </c>
      <c r="J699" s="270">
        <f ca="1">IFERROR(__xludf.DUMMYFUNCTION("IMPORTRANGE(""https://docs.google.com/spreadsheets/d/1XWAQStnk-4SwqDmLtmXYiTMKHgktTP8We1SCoS47DrQ/edit?usp=sharing"",""จัดที่ดิน!BB27"")"),0)</f>
        <v>0</v>
      </c>
      <c r="K699" s="466">
        <f t="shared" ref="K699:K701" ca="1" si="290">IF(I699&gt;0,J699*100/I699,0)</f>
        <v>0</v>
      </c>
      <c r="L699" s="466"/>
      <c r="M699" s="189"/>
      <c r="N699" s="733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IFERROR(__xludf.DUMMYFUNCTION("IMPORTRANGE(""https://docs.google.com/spreadsheets/d/1QqKyyYR6Q21VydFLVH3TRQUabQu_ym0Zz7PgGX0-kHA/edit?usp=sharing"",""แผน!ID27"")"),30)</f>
        <v>30</v>
      </c>
      <c r="J700" s="270">
        <f ca="1">IFERROR(__xludf.DUMMYFUNCTION("IMPORTRANGE(""https://docs.google.com/spreadsheets/d/1XWAQStnk-4SwqDmLtmXYiTMKHgktTP8We1SCoS47DrQ/edit?usp=sharing"",""จัดที่ดิน!BD27"")"),3)</f>
        <v>3</v>
      </c>
      <c r="K700" s="466">
        <f t="shared" ca="1" si="290"/>
        <v>10</v>
      </c>
      <c r="L700" s="466"/>
      <c r="M700" s="189"/>
      <c r="N700" s="733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IFERROR(__xludf.DUMMYFUNCTION("IMPORTRANGE(""https://docs.google.com/spreadsheets/d/1QqKyyYR6Q21VydFLVH3TRQUabQu_ym0Zz7PgGX0-kHA/edit?usp=sharing"",""แผน!IE27"")"),200)</f>
        <v>200</v>
      </c>
      <c r="J701" s="648">
        <f>J704+J707</f>
        <v>0</v>
      </c>
      <c r="K701" s="195">
        <f t="shared" ca="1" si="290"/>
        <v>0</v>
      </c>
      <c r="L701" s="466"/>
      <c r="M701" s="189"/>
      <c r="N701" s="733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IFERROR(__xludf.DUMMYFUNCTION("IMPORTRANGE(""https://docs.google.com/spreadsheets/d/1QqKyyYR6Q21VydFLVH3TRQUabQu_ym0Zz7PgGX0-kHA/edit?usp=sharing"",""แผน!IF27"")"),200)</f>
        <v>200</v>
      </c>
      <c r="J704" s="215">
        <v>0</v>
      </c>
      <c r="K704" s="466"/>
      <c r="L704" s="466"/>
      <c r="M704" s="189"/>
      <c r="N704" s="733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0</v>
      </c>
      <c r="K705" s="466"/>
      <c r="L705" s="466"/>
      <c r="M705" s="189"/>
      <c r="N705" s="733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0</v>
      </c>
      <c r="K706" s="466"/>
      <c r="L706" s="466"/>
      <c r="M706" s="189"/>
      <c r="N706" s="733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IFERROR(__xludf.DUMMYFUNCTION("IMPORTRANGE(""https://docs.google.com/spreadsheets/d/1QqKyyYR6Q21VydFLVH3TRQUabQu_ym0Zz7PgGX0-kHA/edit?usp=sharing"",""แผน!IG27"")"),0)</f>
        <v>0</v>
      </c>
      <c r="J707" s="215">
        <v>0</v>
      </c>
      <c r="K707" s="466"/>
      <c r="L707" s="466"/>
      <c r="M707" s="189"/>
      <c r="N707" s="733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IFERROR(__xludf.DUMMYFUNCTION("IMPORTRANGE(""https://docs.google.com/spreadsheets/d/1QqKyyYR6Q21VydFLVH3TRQUabQu_ym0Zz7PgGX0-kHA/edit?usp=sharing"",""แผน!IH27"")"),100)</f>
        <v>100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IFERROR(__xludf.DUMMYFUNCTION("IMPORTRANGE(""https://docs.google.com/spreadsheets/d/1XWAQStnk-4SwqDmLtmXYiTMKHgktTP8We1SCoS47DrQ/edit?usp=sharing"",""จัดที่ดิน!BF27"")"),0)</f>
        <v>0</v>
      </c>
      <c r="K718" s="466"/>
      <c r="L718" s="466"/>
      <c r="M718" s="189"/>
      <c r="N718" s="733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IFERROR(__xludf.DUMMYFUNCTION("IMPORTRANGE(""https://docs.google.com/spreadsheets/d/1XWAQStnk-4SwqDmLtmXYiTMKHgktTP8We1SCoS47DrQ/edit?usp=sharing"",""จัดที่ดิน!BG27"")"),0)</f>
        <v>0</v>
      </c>
      <c r="K719" s="466"/>
      <c r="L719" s="733"/>
      <c r="M719" s="189"/>
      <c r="N719" s="733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IFERROR(__xludf.DUMMYFUNCTION("IMPORTRANGE(""https://docs.google.com/spreadsheets/d/1QqKyyYR6Q21VydFLVH3TRQUabQu_ym0Zz7PgGX0-kHA/edit?usp=sharing"",""แผน!II27"")"),400)</f>
        <v>400</v>
      </c>
      <c r="J720" s="270">
        <f ca="1">IFERROR(__xludf.DUMMYFUNCTION("IMPORTRANGE(""https://docs.google.com/spreadsheets/d/1XWAQStnk-4SwqDmLtmXYiTMKHgktTP8We1SCoS47DrQ/edit?usp=sharing"",""จัดที่ดิน!BH27"")"),0)</f>
        <v>0</v>
      </c>
      <c r="K720" s="466">
        <f t="shared" ref="K720:K723" ca="1" si="291">IF(I720&gt;0,J720*100/I720,0)</f>
        <v>0</v>
      </c>
      <c r="L720" s="733"/>
      <c r="M720" s="189"/>
      <c r="N720" s="733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IFERROR(__xludf.DUMMYFUNCTION("IMPORTRANGE(""https://docs.google.com/spreadsheets/d/1QqKyyYR6Q21VydFLVH3TRQUabQu_ym0Zz7PgGX0-kHA/edit?usp=sharing"",""แผน!IJ27"")"),30)</f>
        <v>30</v>
      </c>
      <c r="J721" s="648">
        <f ca="1">J723+J726</f>
        <v>0</v>
      </c>
      <c r="K721" s="195">
        <f t="shared" ca="1" si="291"/>
        <v>0</v>
      </c>
      <c r="L721" s="733"/>
      <c r="M721" s="189"/>
      <c r="N721" s="733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IFERROR(__xludf.DUMMYFUNCTION("IMPORTRANGE(""https://docs.google.com/spreadsheets/d/1QqKyyYR6Q21VydFLVH3TRQUabQu_ym0Zz7PgGX0-kHA/edit?usp=sharing"",""แผน!IK27"")"),300)</f>
        <v>300</v>
      </c>
      <c r="J722" s="648">
        <f ca="1">J725+J728</f>
        <v>0</v>
      </c>
      <c r="K722" s="195">
        <f t="shared" ca="1" si="291"/>
        <v>0</v>
      </c>
      <c r="L722" s="466"/>
      <c r="M722" s="189"/>
      <c r="N722" s="733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IFERROR(__xludf.DUMMYFUNCTION("IMPORTRANGE(""https://docs.google.com/spreadsheets/d/1QqKyyYR6Q21VydFLVH3TRQUabQu_ym0Zz7PgGX0-kHA/edit?usp=sharing"",""แผน!IL27"")"),20)</f>
        <v>20</v>
      </c>
      <c r="J723" s="270">
        <f ca="1">IFERROR(__xludf.DUMMYFUNCTION("IMPORTRANGE(""https://docs.google.com/spreadsheets/d/1XWAQStnk-4SwqDmLtmXYiTMKHgktTP8We1SCoS47DrQ/edit?usp=sharing"",""จัดที่ดิน!BM27"")"),0)</f>
        <v>0</v>
      </c>
      <c r="K723" s="466">
        <f t="shared" ca="1" si="291"/>
        <v>0</v>
      </c>
      <c r="L723" s="466"/>
      <c r="M723" s="189"/>
      <c r="N723" s="733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IFERROR(__xludf.DUMMYFUNCTION("IMPORTRANGE(""https://docs.google.com/spreadsheets/d/1XWAQStnk-4SwqDmLtmXYiTMKHgktTP8We1SCoS47DrQ/edit?usp=sharing"",""จัดที่ดิน!BN27"")"),0)</f>
        <v>0</v>
      </c>
      <c r="K724" s="466"/>
      <c r="L724" s="733"/>
      <c r="M724" s="189"/>
      <c r="N724" s="733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IFERROR(__xludf.DUMMYFUNCTION("IMPORTRANGE(""https://docs.google.com/spreadsheets/d/1QqKyyYR6Q21VydFLVH3TRQUabQu_ym0Zz7PgGX0-kHA/edit?usp=sharing"",""แผน!IM27"")"),200)</f>
        <v>200</v>
      </c>
      <c r="J725" s="270">
        <f ca="1">IFERROR(__xludf.DUMMYFUNCTION("IMPORTRANGE(""https://docs.google.com/spreadsheets/d/1XWAQStnk-4SwqDmLtmXYiTMKHgktTP8We1SCoS47DrQ/edit?usp=sharing"",""จัดที่ดิน!BO27"")"),0)</f>
        <v>0</v>
      </c>
      <c r="K725" s="466">
        <f t="shared" ref="K725:K726" ca="1" si="292">IF(I725&gt;0,J725*100/I725,0)</f>
        <v>0</v>
      </c>
      <c r="L725" s="733"/>
      <c r="M725" s="189"/>
      <c r="N725" s="733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IFERROR(__xludf.DUMMYFUNCTION("IMPORTRANGE(""https://docs.google.com/spreadsheets/d/1QqKyyYR6Q21VydFLVH3TRQUabQu_ym0Zz7PgGX0-kHA/edit?usp=sharing"",""แผน!IN27"")"),10)</f>
        <v>10</v>
      </c>
      <c r="J726" s="270">
        <f ca="1">IFERROR(__xludf.DUMMYFUNCTION("IMPORTRANGE(""https://docs.google.com/spreadsheets/d/1XWAQStnk-4SwqDmLtmXYiTMKHgktTP8We1SCoS47DrQ/edit?usp=sharing"",""จัดที่ดิน!BR27"")"),0)</f>
        <v>0</v>
      </c>
      <c r="K726" s="466">
        <f t="shared" ca="1" si="292"/>
        <v>0</v>
      </c>
      <c r="L726" s="466"/>
      <c r="M726" s="189"/>
      <c r="N726" s="733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IFERROR(__xludf.DUMMYFUNCTION("IMPORTRANGE(""https://docs.google.com/spreadsheets/d/1XWAQStnk-4SwqDmLtmXYiTMKHgktTP8We1SCoS47DrQ/edit?usp=sharing"",""จัดที่ดิน!BS27"")"),0)</f>
        <v>0</v>
      </c>
      <c r="K727" s="466"/>
      <c r="L727" s="733"/>
      <c r="M727" s="189"/>
      <c r="N727" s="733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IFERROR(__xludf.DUMMYFUNCTION("IMPORTRANGE(""https://docs.google.com/spreadsheets/d/1QqKyyYR6Q21VydFLVH3TRQUabQu_ym0Zz7PgGX0-kHA/edit?usp=sharing"",""แผน!IO27"")"),100)</f>
        <v>100</v>
      </c>
      <c r="J728" s="270">
        <f ca="1">IFERROR(__xludf.DUMMYFUNCTION("IMPORTRANGE(""https://docs.google.com/spreadsheets/d/1XWAQStnk-4SwqDmLtmXYiTMKHgktTP8We1SCoS47DrQ/edit?usp=sharing"",""จัดที่ดิน!BT27"")"),0)</f>
        <v>0</v>
      </c>
      <c r="K728" s="466">
        <f t="shared" ref="K728:K729" ca="1" si="293">IF(I728&gt;0,J728*100/I728,0)</f>
        <v>0</v>
      </c>
      <c r="L728" s="733"/>
      <c r="M728" s="189"/>
      <c r="N728" s="733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IFERROR(__xludf.DUMMYFUNCTION("IMPORTRANGE(""https://docs.google.com/spreadsheets/d/1QqKyyYR6Q21VydFLVH3TRQUabQu_ym0Zz7PgGX0-kHA/edit?usp=sharing"",""แผน!IP27"")"),40)</f>
        <v>40</v>
      </c>
      <c r="J729" s="648">
        <f>J732+J735</f>
        <v>0</v>
      </c>
      <c r="K729" s="195">
        <f t="shared" ca="1" si="293"/>
        <v>0</v>
      </c>
      <c r="L729" s="466"/>
      <c r="M729" s="189"/>
      <c r="N729" s="733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0</v>
      </c>
      <c r="K730" s="466"/>
      <c r="L730" s="733"/>
      <c r="M730" s="466"/>
      <c r="N730" s="733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0</v>
      </c>
      <c r="K731" s="466"/>
      <c r="L731" s="733"/>
      <c r="M731" s="466"/>
      <c r="N731" s="733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0</v>
      </c>
      <c r="K732" s="466"/>
      <c r="L732" s="733"/>
      <c r="M732" s="466"/>
      <c r="N732" s="733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0</v>
      </c>
      <c r="K733" s="466"/>
      <c r="L733" s="733"/>
      <c r="M733" s="466"/>
      <c r="N733" s="733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0</v>
      </c>
      <c r="K734" s="466"/>
      <c r="L734" s="733"/>
      <c r="M734" s="466"/>
      <c r="N734" s="733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0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4">L738+L739</f>
        <v>0</v>
      </c>
      <c r="M737" s="614">
        <f t="shared" si="294"/>
        <v>0</v>
      </c>
      <c r="N737" s="614">
        <f t="shared" si="294"/>
        <v>0</v>
      </c>
      <c r="O737" s="614">
        <f t="shared" ref="O737:O742" si="295">IF(L737&gt;0,N737*100/L737,0)</f>
        <v>0</v>
      </c>
      <c r="P737" s="614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6"/>
      <c r="D740" s="805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8">L741+L742</f>
        <v>0</v>
      </c>
      <c r="M740" s="614">
        <f t="shared" si="298"/>
        <v>0</v>
      </c>
      <c r="N740" s="614">
        <f t="shared" si="298"/>
        <v>0</v>
      </c>
      <c r="O740" s="614">
        <f t="shared" si="295"/>
        <v>0</v>
      </c>
      <c r="P740" s="614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6"/>
      <c r="D747" s="805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299">L748+L749</f>
        <v>0</v>
      </c>
      <c r="M747" s="614">
        <f t="shared" si="299"/>
        <v>0</v>
      </c>
      <c r="N747" s="614">
        <f t="shared" si="299"/>
        <v>0</v>
      </c>
      <c r="O747" s="614">
        <f t="shared" ref="O747:O749" si="300">IF(L747&gt;0,N747*100/L747,0)</f>
        <v>0</v>
      </c>
      <c r="P747" s="614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2">L755+L756</f>
        <v>0</v>
      </c>
      <c r="M754" s="614">
        <f t="shared" si="302"/>
        <v>0</v>
      </c>
      <c r="N754" s="614">
        <f t="shared" si="302"/>
        <v>0</v>
      </c>
      <c r="O754" s="614">
        <f t="shared" ref="O754:O759" si="303">IF(L754&gt;0,N754*100/L754,0)</f>
        <v>0</v>
      </c>
      <c r="P754" s="614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6"/>
      <c r="D757" s="805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6">L758+L759</f>
        <v>0</v>
      </c>
      <c r="M757" s="614">
        <f t="shared" si="306"/>
        <v>0</v>
      </c>
      <c r="N757" s="614">
        <f t="shared" si="306"/>
        <v>0</v>
      </c>
      <c r="O757" s="614">
        <f t="shared" si="303"/>
        <v>0</v>
      </c>
      <c r="P757" s="614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6"/>
      <c r="D764" s="805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7">L765+L766</f>
        <v>0</v>
      </c>
      <c r="M764" s="614">
        <f t="shared" si="307"/>
        <v>0</v>
      </c>
      <c r="N764" s="614">
        <f t="shared" si="307"/>
        <v>0</v>
      </c>
      <c r="O764" s="614">
        <f t="shared" ref="O764:O766" si="308">IF(L764&gt;0,N764*100/L764,0)</f>
        <v>0</v>
      </c>
      <c r="P764" s="614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0">L771+L772</f>
        <v>0</v>
      </c>
      <c r="M770" s="614">
        <f t="shared" si="310"/>
        <v>0</v>
      </c>
      <c r="N770" s="614">
        <f t="shared" si="310"/>
        <v>0</v>
      </c>
      <c r="O770" s="614">
        <f t="shared" ref="O770:O775" si="311">IF(L770&gt;0,N770*100/L770,0)</f>
        <v>0</v>
      </c>
      <c r="P770" s="614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6"/>
      <c r="D773" s="805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4">L774+L775</f>
        <v>0</v>
      </c>
      <c r="M773" s="614">
        <f t="shared" si="314"/>
        <v>0</v>
      </c>
      <c r="N773" s="614">
        <f t="shared" si="314"/>
        <v>0</v>
      </c>
      <c r="O773" s="614">
        <f t="shared" si="311"/>
        <v>0</v>
      </c>
      <c r="P773" s="614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6"/>
      <c r="D780" s="805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5">L781+L782</f>
        <v>0</v>
      </c>
      <c r="M780" s="614">
        <f t="shared" si="315"/>
        <v>0</v>
      </c>
      <c r="N780" s="614">
        <f t="shared" si="315"/>
        <v>0</v>
      </c>
      <c r="O780" s="614">
        <f t="shared" ref="O780:O782" si="316">IF(L780&gt;0,N780*100/L780,0)</f>
        <v>0</v>
      </c>
      <c r="P780" s="614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 hidden="1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773" t="s">
        <v>46</v>
      </c>
      <c r="I785" s="863">
        <f t="shared" ref="I785:J785" ca="1" si="318">I800</f>
        <v>0</v>
      </c>
      <c r="J785" s="774">
        <f t="shared" ca="1" si="318"/>
        <v>0</v>
      </c>
      <c r="K785" s="775">
        <f ca="1">IF(I785&gt;0,J785*100/I785,0)</f>
        <v>0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 hidden="1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563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6"/>
      <c r="D787" s="687"/>
      <c r="E787" s="726" t="s">
        <v>184</v>
      </c>
      <c r="F787" s="726"/>
      <c r="G787" s="568"/>
      <c r="H787" s="165" t="s">
        <v>12</v>
      </c>
      <c r="I787" s="584"/>
      <c r="J787" s="584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6" t="s">
        <v>185</v>
      </c>
      <c r="F788" s="726"/>
      <c r="G788" s="568"/>
      <c r="H788" s="165" t="s">
        <v>12</v>
      </c>
      <c r="I788" s="584"/>
      <c r="J788" s="584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 hidden="1">
      <c r="A789" s="562"/>
      <c r="B789" s="539"/>
      <c r="C789" s="539"/>
      <c r="D789" s="571" t="s">
        <v>20</v>
      </c>
      <c r="E789" s="730"/>
      <c r="F789" s="730"/>
      <c r="G789" s="189"/>
      <c r="H789" s="779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6" t="s">
        <v>184</v>
      </c>
      <c r="F790" s="726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6" t="s">
        <v>185</v>
      </c>
      <c r="F791" s="726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IFERROR(__xludf.DUMMYFUNCTION("IMPORTRANGE(""https://docs.google.com/spreadsheets/d/1QqKyyYR6Q21VydFLVH3TRQUabQu_ym0Zz7PgGX0-kHA/edit?usp=sharing"",""แผน!JJ27"")"),0)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 hidden="1">
      <c r="A792" s="538"/>
      <c r="B792" s="539"/>
      <c r="C792" s="730"/>
      <c r="D792" s="730"/>
      <c r="E792" s="730"/>
      <c r="F792" s="730" t="s">
        <v>186</v>
      </c>
      <c r="G792" s="189"/>
      <c r="H792" s="779" t="s">
        <v>12</v>
      </c>
      <c r="I792" s="270"/>
      <c r="J792" s="270"/>
      <c r="K792" s="466"/>
      <c r="L792" s="466"/>
      <c r="M792" s="466"/>
      <c r="N792" s="801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 hidden="1">
      <c r="A793" s="538"/>
      <c r="B793" s="539"/>
      <c r="C793" s="730"/>
      <c r="D793" s="730"/>
      <c r="E793" s="730"/>
      <c r="F793" s="730" t="s">
        <v>187</v>
      </c>
      <c r="G793" s="189"/>
      <c r="H793" s="779" t="s">
        <v>12</v>
      </c>
      <c r="I793" s="270"/>
      <c r="J793" s="270"/>
      <c r="K793" s="466"/>
      <c r="L793" s="466"/>
      <c r="M793" s="466"/>
      <c r="N793" s="801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 hidden="1">
      <c r="A794" s="538"/>
      <c r="B794" s="539"/>
      <c r="C794" s="730"/>
      <c r="D794" s="730"/>
      <c r="E794" s="730"/>
      <c r="F794" s="730" t="s">
        <v>188</v>
      </c>
      <c r="G794" s="189"/>
      <c r="H794" s="779" t="s">
        <v>12</v>
      </c>
      <c r="I794" s="270"/>
      <c r="J794" s="270"/>
      <c r="K794" s="466"/>
      <c r="L794" s="466"/>
      <c r="M794" s="466"/>
      <c r="N794" s="801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 hidden="1">
      <c r="A795" s="538"/>
      <c r="B795" s="539"/>
      <c r="C795" s="730"/>
      <c r="D795" s="730"/>
      <c r="E795" s="730"/>
      <c r="F795" s="730" t="s">
        <v>189</v>
      </c>
      <c r="G795" s="189"/>
      <c r="H795" s="779" t="s">
        <v>12</v>
      </c>
      <c r="I795" s="270"/>
      <c r="J795" s="270"/>
      <c r="K795" s="466"/>
      <c r="L795" s="466"/>
      <c r="M795" s="466"/>
      <c r="N795" s="801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 hidden="1">
      <c r="A796" s="562"/>
      <c r="B796" s="539"/>
      <c r="C796" s="730"/>
      <c r="D796" s="571" t="s">
        <v>21</v>
      </c>
      <c r="E796" s="730"/>
      <c r="F796" s="730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6"/>
      <c r="D797" s="726"/>
      <c r="E797" s="726" t="s">
        <v>18</v>
      </c>
      <c r="F797" s="726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6"/>
      <c r="D798" s="726"/>
      <c r="E798" s="726" t="s">
        <v>19</v>
      </c>
      <c r="F798" s="726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 hidden="1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777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 hidden="1">
      <c r="A800" s="573"/>
      <c r="B800" s="585"/>
      <c r="C800" s="585"/>
      <c r="D800" s="585"/>
      <c r="E800" s="593"/>
      <c r="F800" s="593" t="s">
        <v>320</v>
      </c>
      <c r="G800" s="729"/>
      <c r="H800" s="778" t="s">
        <v>46</v>
      </c>
      <c r="I800" s="184">
        <f ca="1">IFERROR(__xludf.DUMMYFUNCTION("IMPORTRANGE(""https://docs.google.com/spreadsheets/d/1QqKyyYR6Q21VydFLVH3TRQUabQu_ym0Zz7PgGX0-kHA/edit?usp=sharing"",""แผน!JN27"")"),0)</f>
        <v>0</v>
      </c>
      <c r="J800" s="184">
        <f ca="1">IFERROR(__xludf.DUMMYFUNCTION("IMPORTRANGE(""https://docs.google.com/spreadsheets/d/1MaWodYyGHDf7siQLGxnXhG4mBNTNIuy296niS2xXulU/edit?usp=sharing"",""RTK!H27"")"),0)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 hidden="1">
      <c r="A801" s="573"/>
      <c r="B801" s="585"/>
      <c r="C801" s="585"/>
      <c r="D801" s="585"/>
      <c r="E801" s="593"/>
      <c r="F801" s="593"/>
      <c r="G801" s="729"/>
      <c r="H801" s="779" t="s">
        <v>34</v>
      </c>
      <c r="I801" s="184"/>
      <c r="J801" s="270">
        <f ca="1">IFERROR(__xludf.DUMMYFUNCTION("IMPORTRANGE(""https://docs.google.com/spreadsheets/d/1MaWodYyGHDf7siQLGxnXhG4mBNTNIuy296niS2xXulU/edit?usp=sharing"",""RTK!I27"")"),0)</f>
        <v>0</v>
      </c>
      <c r="K801" s="466"/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 hidden="1">
      <c r="A802" s="579"/>
      <c r="B802" s="581"/>
      <c r="C802" s="581"/>
      <c r="D802" s="581"/>
      <c r="E802" s="687"/>
      <c r="F802" s="687" t="s">
        <v>321</v>
      </c>
      <c r="G802" s="582"/>
      <c r="H802" s="620" t="s">
        <v>46</v>
      </c>
      <c r="I802" s="166"/>
      <c r="J802" s="584"/>
      <c r="K802" s="167">
        <f>IF(I802&gt;0,J802*100/I802,0)</f>
        <v>0</v>
      </c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 hidden="1">
      <c r="A803" s="579"/>
      <c r="B803" s="581"/>
      <c r="C803" s="581"/>
      <c r="D803" s="581"/>
      <c r="E803" s="687"/>
      <c r="F803" s="687"/>
      <c r="G803" s="582"/>
      <c r="H803" s="620" t="s">
        <v>34</v>
      </c>
      <c r="I803" s="166"/>
      <c r="J803" s="584"/>
      <c r="K803" s="167"/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>IF(I804&gt;0,J804*100/I804,0)</f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7">L806+L807</f>
        <v>0</v>
      </c>
      <c r="M805" s="614">
        <f t="shared" si="327"/>
        <v>0</v>
      </c>
      <c r="N805" s="614">
        <f t="shared" si="327"/>
        <v>0</v>
      </c>
      <c r="O805" s="614">
        <f t="shared" ref="O805:O810" si="328">IF(L805&gt;0,N805*100/L805,0)</f>
        <v>0</v>
      </c>
      <c r="P805" s="614">
        <f t="shared" ref="P805:P810" si="329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1">L809+L810</f>
        <v>0</v>
      </c>
      <c r="M808" s="614">
        <f t="shared" si="331"/>
        <v>0</v>
      </c>
      <c r="N808" s="614">
        <f t="shared" si="331"/>
        <v>0</v>
      </c>
      <c r="O808" s="614">
        <f t="shared" si="328"/>
        <v>0</v>
      </c>
      <c r="P808" s="614">
        <f t="shared" si="329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2">L816+L817</f>
        <v>0</v>
      </c>
      <c r="M815" s="614">
        <f t="shared" si="332"/>
        <v>0</v>
      </c>
      <c r="N815" s="614">
        <f t="shared" si="332"/>
        <v>0</v>
      </c>
      <c r="O815" s="614">
        <f t="shared" ref="O815:O817" si="333">IF(L815&gt;0,N815*100/L815,0)</f>
        <v>0</v>
      </c>
      <c r="P815" s="614">
        <f t="shared" ref="P815:P817" si="334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55" t="s">
        <v>332</v>
      </c>
      <c r="B820" s="856"/>
      <c r="C820" s="856"/>
      <c r="D820" s="857"/>
      <c r="E820" s="856"/>
      <c r="F820" s="856"/>
      <c r="G820" s="858"/>
      <c r="H820" s="8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60"/>
      <c r="J820" s="860"/>
      <c r="K820" s="861"/>
      <c r="L820" s="861"/>
      <c r="M820" s="861"/>
      <c r="N820" s="861"/>
      <c r="O820" s="861"/>
      <c r="P820" s="86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IFERROR(__xludf.DUMMYFUNCTION("IMPORTRANGE(""https://docs.google.com/spreadsheets/d/19vJNZY_5yjcGF2XGBMNZRCAIB0Kwfpjp8YEOfu-bneM/edit?usp=sharing"",""งานกองทุน!D27"")"),6570000)</f>
        <v>6570000</v>
      </c>
      <c r="J821" s="270">
        <f ca="1">IFERROR(__xludf.DUMMYFUNCTION("IMPORTRANGE(""https://docs.google.com/spreadsheets/d/19vJNZY_5yjcGF2XGBMNZRCAIB0Kwfpjp8YEOfu-bneM/edit?usp=sharing"",""งานกองทุน!F27"")"),1757914)</f>
        <v>1757914</v>
      </c>
      <c r="K821" s="466">
        <f t="shared" ref="K821:K828" ca="1" si="335">IF(I821&gt;0,J821*100/I821,0)</f>
        <v>26.75668188736682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IFERROR(__xludf.DUMMYFUNCTION("IMPORTRANGE(""https://docs.google.com/spreadsheets/d/19vJNZY_5yjcGF2XGBMNZRCAIB0Kwfpjp8YEOfu-bneM/edit?usp=sharing"",""งานกองทุน!C27"")"),216)</f>
        <v>216</v>
      </c>
      <c r="J822" s="270">
        <f ca="1">IFERROR(__xludf.DUMMYFUNCTION("IMPORTRANGE(""https://docs.google.com/spreadsheets/d/19vJNZY_5yjcGF2XGBMNZRCAIB0Kwfpjp8YEOfu-bneM/edit?usp=sharing"",""งานกองทุน!E27"")"),68)</f>
        <v>68</v>
      </c>
      <c r="K822" s="466">
        <f t="shared" ca="1" si="335"/>
        <v>31.481481481481481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IFERROR(__xludf.DUMMYFUNCTION("IMPORTRANGE(""https://docs.google.com/spreadsheets/d/19vJNZY_5yjcGF2XGBMNZRCAIB0Kwfpjp8YEOfu-bneM/edit?usp=sharing"",""งานกองทุน!I27"")"),5571824.18)</f>
        <v>5571824.1799999997</v>
      </c>
      <c r="J823" s="270">
        <f ca="1">IFERROR(__xludf.DUMMYFUNCTION("IMPORTRANGE(""https://docs.google.com/spreadsheets/d/19vJNZY_5yjcGF2XGBMNZRCAIB0Kwfpjp8YEOfu-bneM/edit?usp=sharing"",""งานกองทุน!K27"")"),82142.05)</f>
        <v>82142.05</v>
      </c>
      <c r="K823" s="466">
        <f t="shared" ca="1" si="335"/>
        <v>1.4742398063249729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IFERROR(__xludf.DUMMYFUNCTION("IMPORTRANGE(""https://docs.google.com/spreadsheets/d/19vJNZY_5yjcGF2XGBMNZRCAIB0Kwfpjp8YEOfu-bneM/edit?usp=sharing"",""งานกองทุน!H27"")"),221)</f>
        <v>221</v>
      </c>
      <c r="J824" s="270">
        <f ca="1">IFERROR(__xludf.DUMMYFUNCTION("IMPORTRANGE(""https://docs.google.com/spreadsheets/d/19vJNZY_5yjcGF2XGBMNZRCAIB0Kwfpjp8YEOfu-bneM/edit?usp=sharing"",""งานกองทุน!J27"")"),23)</f>
        <v>23</v>
      </c>
      <c r="K824" s="466">
        <f t="shared" ca="1" si="335"/>
        <v>10.407239819004525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IFERROR(__xludf.DUMMYFUNCTION("IMPORTRANGE(""https://docs.google.com/spreadsheets/d/19vJNZY_5yjcGF2XGBMNZRCAIB0Kwfpjp8YEOfu-bneM/edit?usp=sharing"",""งานกองทุน!N27"")"),3559249.29)</f>
        <v>3559249.29</v>
      </c>
      <c r="J825" s="270">
        <f ca="1">IFERROR(__xludf.DUMMYFUNCTION("IMPORTRANGE(""https://docs.google.com/spreadsheets/d/19vJNZY_5yjcGF2XGBMNZRCAIB0Kwfpjp8YEOfu-bneM/edit?usp=sharing"",""งานกองทุน!P27"")"),169691.2)</f>
        <v>169691.2</v>
      </c>
      <c r="K825" s="466">
        <f t="shared" ca="1" si="335"/>
        <v>4.7676121050796079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IFERROR(__xludf.DUMMYFUNCTION("IMPORTRANGE(""https://docs.google.com/spreadsheets/d/19vJNZY_5yjcGF2XGBMNZRCAIB0Kwfpjp8YEOfu-bneM/edit?usp=sharing"",""งานกองทุน!M27"")"),451)</f>
        <v>451</v>
      </c>
      <c r="J826" s="270">
        <f ca="1">IFERROR(__xludf.DUMMYFUNCTION("IMPORTRANGE(""https://docs.google.com/spreadsheets/d/19vJNZY_5yjcGF2XGBMNZRCAIB0Kwfpjp8YEOfu-bneM/edit?usp=sharing"",""งานกองทุน!O27"")"),78)</f>
        <v>78</v>
      </c>
      <c r="K826" s="466">
        <f t="shared" ca="1" si="335"/>
        <v>17.294900221729488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IFERROR(__xludf.DUMMYFUNCTION("IMPORTRANGE(""https://docs.google.com/spreadsheets/d/19vJNZY_5yjcGF2XGBMNZRCAIB0Kwfpjp8YEOfu-bneM/edit?usp=sharing"",""งานกองทุน!S27"")"),9900000)</f>
        <v>9900000</v>
      </c>
      <c r="J827" s="270">
        <f ca="1">IFERROR(__xludf.DUMMYFUNCTION("IMPORTRANGE(""https://docs.google.com/spreadsheets/d/19vJNZY_5yjcGF2XGBMNZRCAIB0Kwfpjp8YEOfu-bneM/edit?usp=sharing"",""งานกองทุน!U27"")"),1960000)</f>
        <v>1960000</v>
      </c>
      <c r="K827" s="466">
        <f t="shared" ca="1" si="335"/>
        <v>19.797979797979799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IFERROR(__xludf.DUMMYFUNCTION("IMPORTRANGE(""https://docs.google.com/spreadsheets/d/19vJNZY_5yjcGF2XGBMNZRCAIB0Kwfpjp8YEOfu-bneM/edit?usp=sharing"",""งานกองทุน!R27"")"),396)</f>
        <v>396</v>
      </c>
      <c r="J828" s="469">
        <f ca="1">IFERROR(__xludf.DUMMYFUNCTION("IMPORTRANGE(""https://docs.google.com/spreadsheets/d/19vJNZY_5yjcGF2XGBMNZRCAIB0Kwfpjp8YEOfu-bneM/edit?usp=sharing"",""งานกองทุน!T27"")"),58)</f>
        <v>58</v>
      </c>
      <c r="K828" s="470">
        <f t="shared" ca="1" si="335"/>
        <v>14.646464646464647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F5734-A780-49FC-ADF2-D335CD097BF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4" customWidth="1"/>
    <col min="4" max="6" width="5.85546875" style="804" customWidth="1"/>
    <col min="7" max="7" width="56.42578125" style="804" customWidth="1"/>
    <col min="8" max="8" width="9.42578125" style="804" customWidth="1"/>
    <col min="9" max="10" width="16.85546875" style="804" bestFit="1" customWidth="1"/>
    <col min="11" max="11" width="12.5703125" style="804" customWidth="1"/>
    <col min="12" max="13" width="20.28515625" style="804" bestFit="1" customWidth="1"/>
    <col min="14" max="14" width="21.28515625" style="804" bestFit="1" customWidth="1"/>
    <col min="15" max="16" width="17.5703125" style="804" customWidth="1"/>
    <col min="17" max="16384" width="12.5703125" style="804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352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6513638</v>
      </c>
      <c r="M8" s="22">
        <f t="shared" ca="1" si="0"/>
        <v>3820610.84</v>
      </c>
      <c r="N8" s="22">
        <f t="shared" ca="1" si="0"/>
        <v>2087766.78</v>
      </c>
      <c r="O8" s="22">
        <f t="shared" ref="O8:O16" ca="1" si="1">IF(L8&gt;0,N8*100/L8,0)</f>
        <v>32.052238395808914</v>
      </c>
      <c r="P8" s="22">
        <f t="shared" ref="P8:P16" ca="1" si="2">IF(M8&gt;0,N8*100/M8,0)</f>
        <v>54.644842603231481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6513638</v>
      </c>
      <c r="M10" s="30">
        <f t="shared" ca="1" si="3"/>
        <v>3820610.84</v>
      </c>
      <c r="N10" s="30">
        <f t="shared" ca="1" si="3"/>
        <v>2087766.78</v>
      </c>
      <c r="O10" s="30">
        <f t="shared" ca="1" si="1"/>
        <v>32.052238395808914</v>
      </c>
      <c r="P10" s="30">
        <f t="shared" ca="1" si="2"/>
        <v>54.644842603231481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6170538</v>
      </c>
      <c r="M11" s="466">
        <f t="shared" ca="1" si="4"/>
        <v>3477560.84</v>
      </c>
      <c r="N11" s="466">
        <f t="shared" ca="1" si="4"/>
        <v>1744716.78</v>
      </c>
      <c r="O11" s="466">
        <f t="shared" ca="1" si="1"/>
        <v>28.274953982942815</v>
      </c>
      <c r="P11" s="466">
        <f t="shared" ca="1" si="2"/>
        <v>50.170704705773026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6170538</v>
      </c>
      <c r="M13" s="93">
        <f t="shared" ca="1" si="5"/>
        <v>3477560.84</v>
      </c>
      <c r="N13" s="93">
        <f t="shared" ca="1" si="5"/>
        <v>1744716.78</v>
      </c>
      <c r="O13" s="93">
        <f t="shared" ca="1" si="1"/>
        <v>28.274953982942815</v>
      </c>
      <c r="P13" s="93">
        <f t="shared" ca="1" si="2"/>
        <v>50.170704705773026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343100</v>
      </c>
      <c r="M14" s="466">
        <f t="shared" ca="1" si="6"/>
        <v>343050</v>
      </c>
      <c r="N14" s="466">
        <f t="shared" ca="1" si="6"/>
        <v>343050</v>
      </c>
      <c r="O14" s="466">
        <f t="shared" ca="1" si="1"/>
        <v>99.985426989215966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343100</v>
      </c>
      <c r="M16" s="52">
        <f t="shared" ca="1" si="7"/>
        <v>343050</v>
      </c>
      <c r="N16" s="52">
        <f t="shared" ca="1" si="7"/>
        <v>343050</v>
      </c>
      <c r="O16" s="52">
        <f t="shared" ca="1" si="1"/>
        <v>99.985426989215966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4393145</v>
      </c>
      <c r="M18" s="22">
        <f t="shared" ca="1" si="8"/>
        <v>3820610.84</v>
      </c>
      <c r="N18" s="22">
        <f t="shared" ca="1" si="8"/>
        <v>1716452.6</v>
      </c>
      <c r="O18" s="22">
        <f t="shared" ref="O18:O26" ca="1" si="9">IF(L18&gt;0,N18*100/L18,0)</f>
        <v>39.071157450983293</v>
      </c>
      <c r="P18" s="22">
        <f t="shared" ref="P18:P26" ca="1" si="10">IF(M18&gt;0,N18*100/M18,0)</f>
        <v>44.926130189171531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4393145</v>
      </c>
      <c r="M20" s="30">
        <f t="shared" ca="1" si="11"/>
        <v>3820610.84</v>
      </c>
      <c r="N20" s="30">
        <f t="shared" ca="1" si="11"/>
        <v>1716452.6</v>
      </c>
      <c r="O20" s="30">
        <f t="shared" ca="1" si="9"/>
        <v>39.071157450983293</v>
      </c>
      <c r="P20" s="30">
        <f t="shared" ca="1" si="10"/>
        <v>44.926130189171531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4050045</v>
      </c>
      <c r="M21" s="466">
        <f t="shared" ca="1" si="12"/>
        <v>3477560.84</v>
      </c>
      <c r="N21" s="466">
        <f t="shared" ca="1" si="12"/>
        <v>1373402.6</v>
      </c>
      <c r="O21" s="466">
        <f t="shared" ca="1" si="9"/>
        <v>33.91079852199173</v>
      </c>
      <c r="P21" s="466">
        <f t="shared" ca="1" si="10"/>
        <v>39.49327310690559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4050045</v>
      </c>
      <c r="M23" s="93">
        <f t="shared" ca="1" si="13"/>
        <v>3477560.84</v>
      </c>
      <c r="N23" s="93">
        <f t="shared" ca="1" si="13"/>
        <v>1373402.6</v>
      </c>
      <c r="O23" s="93">
        <f t="shared" ca="1" si="9"/>
        <v>33.91079852199173</v>
      </c>
      <c r="P23" s="93">
        <f t="shared" ca="1" si="10"/>
        <v>39.49327310690559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343100</v>
      </c>
      <c r="M24" s="466">
        <f t="shared" ca="1" si="14"/>
        <v>343050</v>
      </c>
      <c r="N24" s="466">
        <f t="shared" ca="1" si="14"/>
        <v>343050</v>
      </c>
      <c r="O24" s="466">
        <f t="shared" ca="1" si="9"/>
        <v>99.985426989215966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343100</v>
      </c>
      <c r="M26" s="52">
        <f t="shared" ca="1" si="15"/>
        <v>343050</v>
      </c>
      <c r="N26" s="52">
        <f t="shared" ca="1" si="15"/>
        <v>343050</v>
      </c>
      <c r="O26" s="52">
        <f t="shared" ca="1" si="9"/>
        <v>99.985426989215966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2120493</v>
      </c>
      <c r="M28" s="22">
        <f t="shared" si="16"/>
        <v>0</v>
      </c>
      <c r="N28" s="22">
        <f t="shared" si="16"/>
        <v>371314.18</v>
      </c>
      <c r="O28" s="22">
        <f t="shared" ref="O28:O37" ca="1" si="17">IF(L28&gt;0,N28*100/L28,0)</f>
        <v>17.510747736493354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2120493</v>
      </c>
      <c r="M30" s="30">
        <f t="shared" si="19"/>
        <v>0</v>
      </c>
      <c r="N30" s="30">
        <f t="shared" si="19"/>
        <v>371314.18</v>
      </c>
      <c r="O30" s="30">
        <f t="shared" ca="1" si="17"/>
        <v>17.510747736493354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2120493</v>
      </c>
      <c r="M31" s="466">
        <f t="shared" si="20"/>
        <v>0</v>
      </c>
      <c r="N31" s="466">
        <f t="shared" si="20"/>
        <v>371314.18</v>
      </c>
      <c r="O31" s="466">
        <f t="shared" ca="1" si="17"/>
        <v>17.510747736493354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2120493</v>
      </c>
      <c r="M33" s="93">
        <f t="shared" si="21"/>
        <v>0</v>
      </c>
      <c r="N33" s="93">
        <f t="shared" si="21"/>
        <v>371314.18</v>
      </c>
      <c r="O33" s="93">
        <f t="shared" ca="1" si="17"/>
        <v>17.510747736493354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4393145</v>
      </c>
      <c r="M37" s="812">
        <f t="shared" ca="1" si="24"/>
        <v>3820610.84</v>
      </c>
      <c r="N37" s="812">
        <f t="shared" ca="1" si="24"/>
        <v>1716452.6</v>
      </c>
      <c r="O37" s="812">
        <f t="shared" ca="1" si="17"/>
        <v>39.071157450983293</v>
      </c>
      <c r="P37" s="812">
        <f t="shared" ca="1" si="18"/>
        <v>44.926130189171531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548300</v>
      </c>
      <c r="M41" s="85">
        <f t="shared" ca="1" si="25"/>
        <v>559085.84</v>
      </c>
      <c r="N41" s="85">
        <f t="shared" ca="1" si="25"/>
        <v>243427.71</v>
      </c>
      <c r="O41" s="85">
        <f t="shared" ref="O41:O49" ca="1" si="26">IF(L41&gt;0,N41*100/L41,0)</f>
        <v>44.39681014043407</v>
      </c>
      <c r="P41" s="85">
        <f t="shared" ref="P41:P49" ca="1" si="27">IF(M41&gt;0,N41*100/M41,0)</f>
        <v>43.540310375236835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548300</v>
      </c>
      <c r="M43" s="92">
        <f t="shared" ca="1" si="28"/>
        <v>559085.84</v>
      </c>
      <c r="N43" s="92">
        <f t="shared" ca="1" si="28"/>
        <v>243427.71</v>
      </c>
      <c r="O43" s="92">
        <f t="shared" ca="1" si="26"/>
        <v>44.39681014043407</v>
      </c>
      <c r="P43" s="92">
        <f t="shared" ca="1" si="27"/>
        <v>43.540310375236835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548300</v>
      </c>
      <c r="M44" s="466">
        <f t="shared" ca="1" si="29"/>
        <v>559085.84</v>
      </c>
      <c r="N44" s="466">
        <f t="shared" ca="1" si="29"/>
        <v>243427.71</v>
      </c>
      <c r="O44" s="466">
        <f t="shared" ca="1" si="26"/>
        <v>44.39681014043407</v>
      </c>
      <c r="P44" s="466">
        <f t="shared" ca="1" si="27"/>
        <v>43.540310375236835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IFERROR(__xludf.DUMMYFUNCTION("IMPORTRANGE(""https://docs.google.com/spreadsheets/d/1MeEWN-I1oV_STSDYn1IFDPWt_1FKiwhDph83XaGc0o0/edit?usp=sharing"",""งบพรบ!M28"")"),548300)</f>
        <v>548300</v>
      </c>
      <c r="M46" s="93">
        <f ca="1">IFERROR(__xludf.DUMMYFUNCTION("IMPORTRANGE(""https://docs.google.com/spreadsheets/d/1MeEWN-I1oV_STSDYn1IFDPWt_1FKiwhDph83XaGc0o0/edit?usp=sharing"",""งบพรบ!R28"")"),559085.84)</f>
        <v>559085.84</v>
      </c>
      <c r="N46" s="93">
        <f ca="1">IFERROR(__xludf.DUMMYFUNCTION("IMPORTRANGE(""https://docs.google.com/spreadsheets/d/1MeEWN-I1oV_STSDYn1IFDPWt_1FKiwhDph83XaGc0o0/edit?usp=sharing"",""งบพรบ!T28"")"),243427.71)</f>
        <v>243427.71</v>
      </c>
      <c r="O46" s="93">
        <f t="shared" ca="1" si="26"/>
        <v>44.39681014043407</v>
      </c>
      <c r="P46" s="93">
        <f t="shared" ca="1" si="27"/>
        <v>43.540310375236835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IFERROR(__xludf.DUMMYFUNCTION("IMPORTRANGE(""https://docs.google.com/spreadsheets/d/1MeEWN-I1oV_STSDYn1IFDPWt_1FKiwhDph83XaGc0o0/edit?usp=sharing"",""งบพรบ!P28"")"),0)</f>
        <v>0</v>
      </c>
      <c r="M49" s="52">
        <f ca="1">IFERROR(__xludf.DUMMYFUNCTION("IMPORTRANGE(""https://docs.google.com/spreadsheets/d/1MeEWN-I1oV_STSDYn1IFDPWt_1FKiwhDph83XaGc0o0/edit?usp=sharing"",""งบพรบ!S28"")"),0)</f>
        <v>0</v>
      </c>
      <c r="N49" s="52">
        <f ca="1">IFERROR(__xludf.DUMMYFUNCTION("IMPORTRANGE(""https://docs.google.com/spreadsheets/d/1MeEWN-I1oV_STSDYn1IFDPWt_1FKiwhDph83XaGc0o0/edit?usp=sharing"",""งบพรบ!U28"")"),0)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753200</v>
      </c>
      <c r="M53" s="116">
        <f t="shared" ca="1" si="31"/>
        <v>594900</v>
      </c>
      <c r="N53" s="116">
        <f t="shared" ca="1" si="31"/>
        <v>225396.34</v>
      </c>
      <c r="O53" s="116">
        <f t="shared" ref="O53:O61" ca="1" si="32">IF(L53&gt;0,N53*100/L53,0)</f>
        <v>29.925164630908125</v>
      </c>
      <c r="P53" s="116">
        <f t="shared" ref="P53:P61" ca="1" si="33">IF(M53&gt;0,N53*100/M53,0)</f>
        <v>37.88810556396033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753200</v>
      </c>
      <c r="M55" s="123">
        <f t="shared" ca="1" si="34"/>
        <v>594900</v>
      </c>
      <c r="N55" s="123">
        <f t="shared" ca="1" si="34"/>
        <v>225396.34</v>
      </c>
      <c r="O55" s="123">
        <f t="shared" ca="1" si="32"/>
        <v>29.925164630908125</v>
      </c>
      <c r="P55" s="123">
        <f t="shared" ca="1" si="33"/>
        <v>37.88810556396033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753200</v>
      </c>
      <c r="M56" s="466">
        <f t="shared" ca="1" si="35"/>
        <v>594900</v>
      </c>
      <c r="N56" s="466">
        <f t="shared" ca="1" si="35"/>
        <v>225396.34</v>
      </c>
      <c r="O56" s="466">
        <f t="shared" ca="1" si="32"/>
        <v>29.925164630908125</v>
      </c>
      <c r="P56" s="466">
        <f t="shared" ca="1" si="33"/>
        <v>37.88810556396033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IFERROR(__xludf.DUMMYFUNCTION("IMPORTRANGE(""https://docs.google.com/spreadsheets/d/1MeEWN-I1oV_STSDYn1IFDPWt_1FKiwhDph83XaGc0o0/edit?usp=sharing"",""งบพรบ!W28"")"),753200)</f>
        <v>753200</v>
      </c>
      <c r="M58" s="93">
        <f ca="1">IFERROR(__xludf.DUMMYFUNCTION("IMPORTRANGE(""https://docs.google.com/spreadsheets/d/1MeEWN-I1oV_STSDYn1IFDPWt_1FKiwhDph83XaGc0o0/edit?usp=sharing"",""งบพรบ!AB28"")"),594900)</f>
        <v>594900</v>
      </c>
      <c r="N58" s="93">
        <f ca="1">IFERROR(__xludf.DUMMYFUNCTION("IMPORTRANGE(""https://docs.google.com/spreadsheets/d/1MeEWN-I1oV_STSDYn1IFDPWt_1FKiwhDph83XaGc0o0/edit?usp=sharing"",""งบพรบ!AD28"")"),225396.34)</f>
        <v>225396.34</v>
      </c>
      <c r="O58" s="93">
        <f t="shared" ca="1" si="32"/>
        <v>29.925164630908125</v>
      </c>
      <c r="P58" s="93">
        <f t="shared" ca="1" si="33"/>
        <v>37.88810556396033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IFERROR(__xludf.DUMMYFUNCTION("IMPORTRANGE(""https://docs.google.com/spreadsheets/d/1MeEWN-I1oV_STSDYn1IFDPWt_1FKiwhDph83XaGc0o0/edit?usp=sharing"",""งบพรบ!Z28"")"),0)</f>
        <v>0</v>
      </c>
      <c r="M61" s="52">
        <f ca="1">IFERROR(__xludf.DUMMYFUNCTION("IMPORTRANGE(""https://docs.google.com/spreadsheets/d/1MeEWN-I1oV_STSDYn1IFDPWt_1FKiwhDph83XaGc0o0/edit?usp=sharing"",""งบพรบ!AC28"")"),0)</f>
        <v>0</v>
      </c>
      <c r="N61" s="52">
        <f ca="1">IFERROR(__xludf.DUMMYFUNCTION("IMPORTRANGE(""https://docs.google.com/spreadsheets/d/1MeEWN-I1oV_STSDYn1IFDPWt_1FKiwhDph83XaGc0o0/edit?usp=sharing"",""งบพรบ!AE28"")"),0)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105</v>
      </c>
      <c r="J65" s="144">
        <f t="shared" si="37"/>
        <v>105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1493400</v>
      </c>
      <c r="M66" s="155">
        <f t="shared" ca="1" si="39"/>
        <v>1182550</v>
      </c>
      <c r="N66" s="155">
        <f t="shared" ca="1" si="39"/>
        <v>413627.27</v>
      </c>
      <c r="O66" s="155">
        <f t="shared" ref="O66:O74" ca="1" si="40">IF(L66&gt;0,N66*100/L66,0)</f>
        <v>27.697018213472614</v>
      </c>
      <c r="P66" s="155">
        <f t="shared" ref="P66:P74" ca="1" si="41">IF(M66&gt;0,N66*100/M66,0)</f>
        <v>34.977571350048621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1493400</v>
      </c>
      <c r="M68" s="93">
        <f t="shared" ca="1" si="42"/>
        <v>1182550</v>
      </c>
      <c r="N68" s="93">
        <f t="shared" ca="1" si="42"/>
        <v>413627.27</v>
      </c>
      <c r="O68" s="93">
        <f t="shared" ca="1" si="40"/>
        <v>27.697018213472614</v>
      </c>
      <c r="P68" s="93">
        <f t="shared" ca="1" si="41"/>
        <v>34.977571350048621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1493400</v>
      </c>
      <c r="M69" s="466">
        <f t="shared" ca="1" si="43"/>
        <v>1182550</v>
      </c>
      <c r="N69" s="466">
        <f t="shared" ca="1" si="43"/>
        <v>413627.27</v>
      </c>
      <c r="O69" s="466">
        <f t="shared" ca="1" si="40"/>
        <v>27.697018213472614</v>
      </c>
      <c r="P69" s="466">
        <f t="shared" ca="1" si="41"/>
        <v>34.977571350048621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IFERROR(__xludf.DUMMYFUNCTION("IMPORTRANGE(""https://docs.google.com/spreadsheets/d/1MeEWN-I1oV_STSDYn1IFDPWt_1FKiwhDph83XaGc0o0/edit?usp=sharing"",""งบพรบ!AG28"")"),1493400)</f>
        <v>1493400</v>
      </c>
      <c r="M71" s="93">
        <f ca="1">IFERROR(__xludf.DUMMYFUNCTION("IMPORTRANGE(""https://docs.google.com/spreadsheets/d/1MeEWN-I1oV_STSDYn1IFDPWt_1FKiwhDph83XaGc0o0/edit?usp=sharing"",""งบพรบ!AL28"")"),1182550)</f>
        <v>1182550</v>
      </c>
      <c r="N71" s="93">
        <f ca="1">IFERROR(__xludf.DUMMYFUNCTION("IMPORTRANGE(""https://docs.google.com/spreadsheets/d/1MeEWN-I1oV_STSDYn1IFDPWt_1FKiwhDph83XaGc0o0/edit?usp=sharing"",""งบพรบ!AN28"")"),413627.27)</f>
        <v>413627.27</v>
      </c>
      <c r="O71" s="93">
        <f t="shared" ca="1" si="40"/>
        <v>27.697018213472614</v>
      </c>
      <c r="P71" s="93">
        <f t="shared" ca="1" si="41"/>
        <v>34.977571350048621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IFERROR(__xludf.DUMMYFUNCTION("IMPORTRANGE(""https://docs.google.com/spreadsheets/d/1MeEWN-I1oV_STSDYn1IFDPWt_1FKiwhDph83XaGc0o0/edit?usp=sharing"",""งบพรบ!AJ28"")"),0)</f>
        <v>0</v>
      </c>
      <c r="M74" s="93">
        <f ca="1">IFERROR(__xludf.DUMMYFUNCTION("IMPORTRANGE(""https://docs.google.com/spreadsheets/d/1MeEWN-I1oV_STSDYn1IFDPWt_1FKiwhDph83XaGc0o0/edit?usp=sharing"",""งบพรบ!AM28"")"),0)</f>
        <v>0</v>
      </c>
      <c r="N74" s="93">
        <f ca="1">IFERROR(__xludf.DUMMYFUNCTION("IMPORTRANGE(""https://docs.google.com/spreadsheets/d/1MeEWN-I1oV_STSDYn1IFDPWt_1FKiwhDph83XaGc0o0/edit?usp=sharing"",""งบพรบ!AO28"")"),0)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105</v>
      </c>
      <c r="J77" s="270">
        <f t="shared" si="45"/>
        <v>105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IFERROR(__xludf.DUMMYFUNCTION("IMPORTRANGE(""https://docs.google.com/spreadsheets/d/1QqKyyYR6Q21VydFLVH3TRQUabQu_ym0Zz7PgGX0-kHA/edit?usp=sharing"",""แผน!H28"")"),1)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IFERROR(__xludf.DUMMYFUNCTION("IMPORTRANGE(""https://docs.google.com/spreadsheets/d/1QqKyyYR6Q21VydFLVH3TRQUabQu_ym0Zz7PgGX0-kHA/edit?usp=sharing"",""แผน!I28"")"),30)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IFERROR(__xludf.DUMMYFUNCTION("IMPORTRANGE(""https://docs.google.com/spreadsheets/d/1QqKyyYR6Q21VydFLVH3TRQUabQu_ym0Zz7PgGX0-kHA/edit?usp=sharing"",""แผน!F28"")"),0)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IFERROR(__xludf.DUMMYFUNCTION("IMPORTRANGE(""https://docs.google.com/spreadsheets/d/1QqKyyYR6Q21VydFLVH3TRQUabQu_ym0Zz7PgGX0-kHA/edit?usp=sharing"",""แผน!G28"")"),0)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IFERROR(__xludf.DUMMYFUNCTION("IMPORTRANGE(""https://docs.google.com/spreadsheets/d/1QqKyyYR6Q21VydFLVH3TRQUabQu_ym0Zz7PgGX0-kHA/edit?usp=sharing"",""แผน!D28"")"),1)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IFERROR(__xludf.DUMMYFUNCTION("IMPORTRANGE(""https://docs.google.com/spreadsheets/d/1QqKyyYR6Q21VydFLVH3TRQUabQu_ym0Zz7PgGX0-kHA/edit?usp=sharing"",""แผน!E28"")"),75)</f>
        <v>75</v>
      </c>
      <c r="J83" s="215">
        <v>75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IFERROR(__xludf.DUMMYFUNCTION("IMPORTRANGE(""https://docs.google.com/spreadsheets/d/1QqKyyYR6Q21VydFLVH3TRQUabQu_ym0Zz7PgGX0-kHA/edit?usp=sharing"",""แผน!J28"")"),2)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136720</v>
      </c>
      <c r="M88" s="155">
        <f t="shared" ca="1" si="49"/>
        <v>96270</v>
      </c>
      <c r="N88" s="155">
        <f t="shared" ca="1" si="49"/>
        <v>65520</v>
      </c>
      <c r="O88" s="155">
        <f t="shared" ref="O88:O96" ca="1" si="50">IF(L88&gt;0,N88*100/L88,0)</f>
        <v>47.922761849034522</v>
      </c>
      <c r="P88" s="155">
        <f t="shared" ref="P88:P96" ca="1" si="51">IF(M88&gt;0,N88*100/M88,0)</f>
        <v>68.058585229043317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136720</v>
      </c>
      <c r="M90" s="93">
        <f t="shared" ca="1" si="52"/>
        <v>96270</v>
      </c>
      <c r="N90" s="93">
        <f t="shared" ca="1" si="52"/>
        <v>65520</v>
      </c>
      <c r="O90" s="93">
        <f t="shared" ca="1" si="50"/>
        <v>47.922761849034522</v>
      </c>
      <c r="P90" s="93">
        <f t="shared" ca="1" si="51"/>
        <v>68.058585229043317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136720</v>
      </c>
      <c r="M91" s="466">
        <f t="shared" ca="1" si="53"/>
        <v>96270</v>
      </c>
      <c r="N91" s="466">
        <f t="shared" ca="1" si="53"/>
        <v>65520</v>
      </c>
      <c r="O91" s="466">
        <f t="shared" ca="1" si="50"/>
        <v>47.922761849034522</v>
      </c>
      <c r="P91" s="466">
        <f t="shared" ca="1" si="51"/>
        <v>68.058585229043317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IFERROR(__xludf.DUMMYFUNCTION("IMPORTRANGE(""https://docs.google.com/spreadsheets/d/1MeEWN-I1oV_STSDYn1IFDPWt_1FKiwhDph83XaGc0o0/edit?usp=sharing"",""งบพรบ!AQ28"")"),136720)</f>
        <v>136720</v>
      </c>
      <c r="M93" s="93">
        <f ca="1">IFERROR(__xludf.DUMMYFUNCTION("IMPORTRANGE(""https://docs.google.com/spreadsheets/d/1MeEWN-I1oV_STSDYn1IFDPWt_1FKiwhDph83XaGc0o0/edit?usp=sharing"",""งบพรบ!AV28"")"),96270)</f>
        <v>96270</v>
      </c>
      <c r="N93" s="93">
        <f ca="1">IFERROR(__xludf.DUMMYFUNCTION("IMPORTRANGE(""https://docs.google.com/spreadsheets/d/1MeEWN-I1oV_STSDYn1IFDPWt_1FKiwhDph83XaGc0o0/edit?usp=sharing"",""งบพรบ!AX28"")"),65520)</f>
        <v>65520</v>
      </c>
      <c r="O93" s="93">
        <f t="shared" ca="1" si="50"/>
        <v>47.922761849034522</v>
      </c>
      <c r="P93" s="93">
        <f t="shared" ca="1" si="51"/>
        <v>68.058585229043317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IFERROR(__xludf.DUMMYFUNCTION("IMPORTRANGE(""https://docs.google.com/spreadsheets/d/1MeEWN-I1oV_STSDYn1IFDPWt_1FKiwhDph83XaGc0o0/edit?usp=sharing"",""งบพรบ!AT28"")"),0)</f>
        <v>0</v>
      </c>
      <c r="M96" s="93">
        <f ca="1">IFERROR(__xludf.DUMMYFUNCTION("IMPORTRANGE(""https://docs.google.com/spreadsheets/d/1MeEWN-I1oV_STSDYn1IFDPWt_1FKiwhDph83XaGc0o0/edit?usp=sharing"",""งบพรบ!AW28"")"),0)</f>
        <v>0</v>
      </c>
      <c r="N96" s="93">
        <f ca="1">IFERROR(__xludf.DUMMYFUNCTION("IMPORTRANGE(""https://docs.google.com/spreadsheets/d/1MeEWN-I1oV_STSDYn1IFDPWt_1FKiwhDph83XaGc0o0/edit?usp=sharing"",""งบพรบ!AY28"")"),0)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IFERROR(__xludf.DUMMYFUNCTION("IMPORTRANGE(""https://docs.google.com/spreadsheets/d/1QqKyyYR6Q21VydFLVH3TRQUabQu_ym0Zz7PgGX0-kHA/edit?usp=sharing"",""แผน!K28"")"),90)</f>
        <v>90</v>
      </c>
      <c r="J98" s="270">
        <f>J102</f>
        <v>0</v>
      </c>
      <c r="K98" s="466">
        <f t="shared" ref="K98:K100" ca="1" si="55">IF(I98&gt;0,J98*100/I98,0)</f>
        <v>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IFERROR(__xludf.DUMMYFUNCTION("IMPORTRANGE(""https://docs.google.com/spreadsheets/d/1QqKyyYR6Q21VydFLVH3TRQUabQu_ym0Zz7PgGX0-kHA/edit?usp=sharing"",""แผน!L28"")"),30)</f>
        <v>30</v>
      </c>
      <c r="J99" s="270">
        <f>J104</f>
        <v>30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IFERROR(__xludf.DUMMYFUNCTION("IMPORTRANGE(""https://docs.google.com/spreadsheets/d/1QqKyyYR6Q21VydFLVH3TRQUabQu_ym0Zz7PgGX0-kHA/edit?usp=sharing"",""แผน!M28"")"),2)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IFERROR(__xludf.DUMMYFUNCTION("IMPORTRANGE(""https://docs.google.com/spreadsheets/d/1QqKyyYR6Q21VydFLVH3TRQUabQu_ym0Zz7PgGX0-kHA/edit?usp=sharing"",""แผน!N28"")"),90)</f>
        <v>90</v>
      </c>
      <c r="J102" s="215">
        <v>0</v>
      </c>
      <c r="K102" s="466">
        <f t="shared" ref="K102:K104" ca="1" si="56">IF(I102&gt;0,J102*100/I102,0)</f>
        <v>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IFERROR(__xludf.DUMMYFUNCTION("IMPORTRANGE(""https://docs.google.com/spreadsheets/d/1QqKyyYR6Q21VydFLVH3TRQUabQu_ym0Zz7PgGX0-kHA/edit?usp=sharing"",""แผน!O28"")"),30)</f>
        <v>30</v>
      </c>
      <c r="J103" s="215">
        <v>30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IFERROR(__xludf.DUMMYFUNCTION("IMPORTRANGE(""https://docs.google.com/spreadsheets/d/1QqKyyYR6Q21VydFLVH3TRQUabQu_ym0Zz7PgGX0-kHA/edit?usp=sharing"",""แผน!O28"")"),30)</f>
        <v>30</v>
      </c>
      <c r="J104" s="215">
        <v>30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IFERROR(__xludf.DUMMYFUNCTION("IMPORTRANGE(""https://docs.google.com/spreadsheets/d/1QqKyyYR6Q21VydFLVH3TRQUabQu_ym0Zz7PgGX0-kHA/edit?usp=sharing"",""แผน!P28"")"),1)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IFERROR(__xludf.DUMMYFUNCTION("IMPORTRANGE(""https://docs.google.com/spreadsheets/d/1QqKyyYR6Q21VydFLVH3TRQUabQu_ym0Zz7PgGX0-kHA/edit?usp=sharing"",""แผน!P28"")"),1)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IFERROR(__xludf.DUMMYFUNCTION("IMPORTRANGE(""https://docs.google.com/spreadsheets/d/1QqKyyYR6Q21VydFLVH3TRQUabQu_ym0Zz7PgGX0-kHA/edit?usp=sharing"",""แผน!Q28"")"),1)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IFERROR(__xludf.DUMMYFUNCTION("IMPORTRANGE(""https://docs.google.com/spreadsheets/d/1QqKyyYR6Q21VydFLVH3TRQUabQu_ym0Zz7PgGX0-kHA/edit?usp=sharing"",""แผน!Q28"")"),1)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IFERROR(__xludf.DUMMYFUNCTION("IMPORTRANGE(""https://docs.google.com/spreadsheets/d/1QqKyyYR6Q21VydFLVH3TRQUabQu_ym0Zz7PgGX0-kHA/edit?usp=sharing"",""แผน!R28"")"),30)</f>
        <v>30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IFERROR(__xludf.DUMMYFUNCTION("IMPORTRANGE(""https://docs.google.com/spreadsheets/d/1QqKyyYR6Q21VydFLVH3TRQUabQu_ym0Zz7PgGX0-kHA/edit?usp=sharing"",""แผน!R28"")"),30)</f>
        <v>30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IFERROR(__xludf.DUMMYFUNCTION("IMPORTRANGE(""https://docs.google.com/spreadsheets/d/1QqKyyYR6Q21VydFLVH3TRQUabQu_ym0Zz7PgGX0-kHA/edit?usp=sharing"",""แผน!R28"")"),30)</f>
        <v>30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IFERROR(__xludf.DUMMYFUNCTION("IMPORTRANGE(""https://docs.google.com/spreadsheets/d/1QqKyyYR6Q21VydFLVH3TRQUabQu_ym0Zz7PgGX0-kHA/edit?usp=sharing"",""แผน!S28"")"),1)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IFERROR(__xludf.DUMMYFUNCTION("IMPORTRANGE(""https://docs.google.com/spreadsheets/d/1QqKyyYR6Q21VydFLVH3TRQUabQu_ym0Zz7PgGX0-kHA/edit?usp=sharing"",""แผน!T28"")"),1)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245300</v>
      </c>
      <c r="M119" s="155">
        <f t="shared" ca="1" si="60"/>
        <v>245250</v>
      </c>
      <c r="N119" s="155">
        <f t="shared" ca="1" si="60"/>
        <v>245250</v>
      </c>
      <c r="O119" s="155">
        <f t="shared" ref="O119:O127" ca="1" si="61">IF(L119&gt;0,N119*100/L119,0)</f>
        <v>99.979616795760293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245300</v>
      </c>
      <c r="M121" s="93">
        <f t="shared" ca="1" si="63"/>
        <v>245250</v>
      </c>
      <c r="N121" s="93">
        <f t="shared" ca="1" si="63"/>
        <v>245250</v>
      </c>
      <c r="O121" s="93">
        <f t="shared" ca="1" si="61"/>
        <v>99.979616795760293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IFERROR(__xludf.DUMMYFUNCTION("IMPORTRANGE(""https://docs.google.com/spreadsheets/d/1MeEWN-I1oV_STSDYn1IFDPWt_1FKiwhDph83XaGc0o0/edit?usp=sharing"",""งบพรบ!BA28"")"),0)</f>
        <v>0</v>
      </c>
      <c r="M124" s="93">
        <f ca="1">IFERROR(__xludf.DUMMYFUNCTION("IMPORTRANGE(""https://docs.google.com/spreadsheets/d/1MeEWN-I1oV_STSDYn1IFDPWt_1FKiwhDph83XaGc0o0/edit?usp=sharing"",""งบพรบ!BF28"")"),0)</f>
        <v>0</v>
      </c>
      <c r="N124" s="93">
        <f ca="1">IFERROR(__xludf.DUMMYFUNCTION("IMPORTRANGE(""https://docs.google.com/spreadsheets/d/1MeEWN-I1oV_STSDYn1IFDPWt_1FKiwhDph83XaGc0o0/edit?usp=sharing"",""งบพรบ!BH28"")"),0)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245300</v>
      </c>
      <c r="M125" s="466">
        <f t="shared" ca="1" si="65"/>
        <v>245250</v>
      </c>
      <c r="N125" s="466">
        <f t="shared" ca="1" si="65"/>
        <v>245250</v>
      </c>
      <c r="O125" s="466">
        <f t="shared" ca="1" si="61"/>
        <v>99.979616795760293</v>
      </c>
      <c r="P125" s="466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IFERROR(__xludf.DUMMYFUNCTION("IMPORTRANGE(""https://docs.google.com/spreadsheets/d/1MeEWN-I1oV_STSDYn1IFDPWt_1FKiwhDph83XaGc0o0/edit?usp=sharing"",""งบพรบ!BD28"")"),245300)</f>
        <v>245300</v>
      </c>
      <c r="M127" s="93">
        <f ca="1">IFERROR(__xludf.DUMMYFUNCTION("IMPORTRANGE(""https://docs.google.com/spreadsheets/d/1MeEWN-I1oV_STSDYn1IFDPWt_1FKiwhDph83XaGc0o0/edit?usp=sharing"",""งบพรบ!BG28"")"),245250)</f>
        <v>245250</v>
      </c>
      <c r="N127" s="93">
        <f ca="1">IFERROR(__xludf.DUMMYFUNCTION("IMPORTRANGE(""https://docs.google.com/spreadsheets/d/1MeEWN-I1oV_STSDYn1IFDPWt_1FKiwhDph83XaGc0o0/edit?usp=sharing"",""งบพรบ!BI28"")"),245250)</f>
        <v>245250</v>
      </c>
      <c r="O127" s="93">
        <f t="shared" ca="1" si="61"/>
        <v>99.979616795760293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IFERROR(__xludf.DUMMYFUNCTION("IMPORTRANGE(""https://docs.google.com/spreadsheets/d/1MeEWN-I1oV_STSDYn1IFDPWt_1FKiwhDph83XaGc0o0/edit?usp=sharing"",""งบพรบ!BK28"")"),0)</f>
        <v>0</v>
      </c>
      <c r="M137" s="93">
        <f ca="1">IFERROR(__xludf.DUMMYFUNCTION("IMPORTRANGE(""https://docs.google.com/spreadsheets/d/1MeEWN-I1oV_STSDYn1IFDPWt_1FKiwhDph83XaGc0o0/edit?usp=sharing"",""งบพรบ!BP28"")"),0)</f>
        <v>0</v>
      </c>
      <c r="N137" s="93">
        <f ca="1">IFERROR(__xludf.DUMMYFUNCTION("IMPORTRANGE(""https://docs.google.com/spreadsheets/d/1MeEWN-I1oV_STSDYn1IFDPWt_1FKiwhDph83XaGc0o0/edit?usp=sharing"",""งบพรบ!BR28"")"),0)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IFERROR(__xludf.DUMMYFUNCTION("IMPORTRANGE(""https://docs.google.com/spreadsheets/d/1MeEWN-I1oV_STSDYn1IFDPWt_1FKiwhDph83XaGc0o0/edit?usp=sharing"",""งบพรบ!BN28"")"),0)</f>
        <v>0</v>
      </c>
      <c r="M140" s="93">
        <f ca="1">IFERROR(__xludf.DUMMYFUNCTION("IMPORTRANGE(""https://docs.google.com/spreadsheets/d/1MeEWN-I1oV_STSDYn1IFDPWt_1FKiwhDph83XaGc0o0/edit?usp=sharing"",""งบพรบ!BQ28"")"),0)</f>
        <v>0</v>
      </c>
      <c r="N140" s="93">
        <f ca="1">IFERROR(__xludf.DUMMYFUNCTION("IMPORTRANGE(""https://docs.google.com/spreadsheets/d/1MeEWN-I1oV_STSDYn1IFDPWt_1FKiwhDph83XaGc0o0/edit?usp=sharing"",""งบพรบ!BS28"")"),0)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IFERROR(__xludf.DUMMYFUNCTION("IMPORTRANGE(""https://docs.google.com/spreadsheets/d/1QqKyyYR6Q21VydFLVH3TRQUabQu_ym0Zz7PgGX0-kHA/edit?usp=sharing"",""แผน!U28"")"),0)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IFERROR(__xludf.DUMMYFUNCTION("IMPORTRANGE(""https://docs.google.com/spreadsheets/d/1QqKyyYR6Q21VydFLVH3TRQUabQu_ym0Zz7PgGX0-kHA/edit?usp=sharing"",""แผน!V28"")"),0)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IFERROR(__xludf.DUMMYFUNCTION("IMPORTRANGE(""https://docs.google.com/spreadsheets/d/1QqKyyYR6Q21VydFLVH3TRQUabQu_ym0Zz7PgGX0-kHA/edit?usp=sharing"",""แผน!W28"")"),0)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80</v>
      </c>
      <c r="K148" s="145">
        <f ca="1">IF(I148&gt;0,J148*100/I148,0)</f>
        <v>400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186580</v>
      </c>
      <c r="N149" s="155">
        <f t="shared" ca="1" si="77"/>
        <v>69329.289999999994</v>
      </c>
      <c r="O149" s="155">
        <f t="shared" ref="O149:O157" ca="1" si="78">IF(L149&gt;0,N149*100/L149,0)</f>
        <v>693.29289999999992</v>
      </c>
      <c r="P149" s="155">
        <f t="shared" ref="P149:P157" ca="1" si="79">IF(M149&gt;0,N149*100/M149,0)</f>
        <v>37.157942973523419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186580</v>
      </c>
      <c r="N151" s="93">
        <f t="shared" ca="1" si="80"/>
        <v>69329.289999999994</v>
      </c>
      <c r="O151" s="93">
        <f t="shared" ca="1" si="78"/>
        <v>693.29289999999992</v>
      </c>
      <c r="P151" s="93">
        <f t="shared" ca="1" si="79"/>
        <v>37.157942973523419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186580</v>
      </c>
      <c r="N152" s="466">
        <f t="shared" ca="1" si="81"/>
        <v>69329.289999999994</v>
      </c>
      <c r="O152" s="466">
        <f t="shared" ca="1" si="78"/>
        <v>693.29289999999992</v>
      </c>
      <c r="P152" s="466">
        <f t="shared" ca="1" si="79"/>
        <v>37.157942973523419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IFERROR(__xludf.DUMMYFUNCTION("IMPORTRANGE(""https://docs.google.com/spreadsheets/d/1MeEWN-I1oV_STSDYn1IFDPWt_1FKiwhDph83XaGc0o0/edit?usp=sharing"",""งบพรบ!BU28"")"),10000)</f>
        <v>10000</v>
      </c>
      <c r="M154" s="93">
        <f ca="1">IFERROR(__xludf.DUMMYFUNCTION("IMPORTRANGE(""https://docs.google.com/spreadsheets/d/1MeEWN-I1oV_STSDYn1IFDPWt_1FKiwhDph83XaGc0o0/edit?usp=sharing"",""งบพรบ!BZ28"")"),186580)</f>
        <v>186580</v>
      </c>
      <c r="N154" s="93">
        <f ca="1">IFERROR(__xludf.DUMMYFUNCTION("IMPORTRANGE(""https://docs.google.com/spreadsheets/d/1MeEWN-I1oV_STSDYn1IFDPWt_1FKiwhDph83XaGc0o0/edit?usp=sharing"",""งบพรบ!CB28"")"),69329.29)</f>
        <v>69329.289999999994</v>
      </c>
      <c r="O154" s="93">
        <f t="shared" ca="1" si="78"/>
        <v>693.29289999999992</v>
      </c>
      <c r="P154" s="93">
        <f t="shared" ca="1" si="79"/>
        <v>37.157942973523419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IFERROR(__xludf.DUMMYFUNCTION("IMPORTRANGE(""https://docs.google.com/spreadsheets/d/1MeEWN-I1oV_STSDYn1IFDPWt_1FKiwhDph83XaGc0o0/edit?usp=sharing"",""งบพรบ!BX28"")"),0)</f>
        <v>0</v>
      </c>
      <c r="M157" s="93">
        <f ca="1">IFERROR(__xludf.DUMMYFUNCTION("IMPORTRANGE(""https://docs.google.com/spreadsheets/d/1MeEWN-I1oV_STSDYn1IFDPWt_1FKiwhDph83XaGc0o0/edit?usp=sharing"",""งบพรบ!CA28"")"),0)</f>
        <v>0</v>
      </c>
      <c r="N157" s="93">
        <f ca="1">IFERROR(__xludf.DUMMYFUNCTION("IMPORTRANGE(""https://docs.google.com/spreadsheets/d/1MeEWN-I1oV_STSDYn1IFDPWt_1FKiwhDph83XaGc0o0/edit?usp=sharing"",""งบพรบ!CC28"")"),0)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IFERROR(__xludf.DUMMYFUNCTION("IMPORTRANGE(""https://docs.google.com/spreadsheets/d/1QqKyyYR6Q21VydFLVH3TRQUabQu_ym0Zz7PgGX0-kHA/edit?usp=sharing"",""แผน!X28"")"),20)</f>
        <v>20</v>
      </c>
      <c r="J159" s="215">
        <v>80</v>
      </c>
      <c r="K159" s="466">
        <f ca="1">IF(I159&gt;0,J159*100/I159,0)</f>
        <v>400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40695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54.195847155670229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40695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54.195847155670229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40695</v>
      </c>
      <c r="N168" s="466">
        <f t="shared" ca="1" si="88"/>
        <v>22055</v>
      </c>
      <c r="O168" s="466">
        <f t="shared" ca="1" si="85"/>
        <v>100</v>
      </c>
      <c r="P168" s="466">
        <f t="shared" ca="1" si="86"/>
        <v>54.195847155670229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IFERROR(__xludf.DUMMYFUNCTION("IMPORTRANGE(""https://docs.google.com/spreadsheets/d/1MeEWN-I1oV_STSDYn1IFDPWt_1FKiwhDph83XaGc0o0/edit?usp=sharing"",""งบพรบ!CE28"")"),22055)</f>
        <v>22055</v>
      </c>
      <c r="M170" s="93">
        <f ca="1">IFERROR(__xludf.DUMMYFUNCTION("IMPORTRANGE(""https://docs.google.com/spreadsheets/d/1MeEWN-I1oV_STSDYn1IFDPWt_1FKiwhDph83XaGc0o0/edit?usp=sharing"",""งบพรบ!CJ28"")"),40695)</f>
        <v>40695</v>
      </c>
      <c r="N170" s="93">
        <f ca="1">IFERROR(__xludf.DUMMYFUNCTION("IMPORTRANGE(""https://docs.google.com/spreadsheets/d/1MeEWN-I1oV_STSDYn1IFDPWt_1FKiwhDph83XaGc0o0/edit?usp=sharing"",""งบพรบ!CL28"")"),22055)</f>
        <v>22055</v>
      </c>
      <c r="O170" s="93">
        <f t="shared" ca="1" si="85"/>
        <v>100</v>
      </c>
      <c r="P170" s="93">
        <f t="shared" ca="1" si="86"/>
        <v>54.195847155670229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IFERROR(__xludf.DUMMYFUNCTION("IMPORTRANGE(""https://docs.google.com/spreadsheets/d/1MeEWN-I1oV_STSDYn1IFDPWt_1FKiwhDph83XaGc0o0/edit?usp=sharing"",""งบพรบ!CH28"")"),0)</f>
        <v>0</v>
      </c>
      <c r="M173" s="93">
        <f ca="1">IFERROR(__xludf.DUMMYFUNCTION("IMPORTRANGE(""https://docs.google.com/spreadsheets/d/1MeEWN-I1oV_STSDYn1IFDPWt_1FKiwhDph83XaGc0o0/edit?usp=sharing"",""งบพรบ!CK28"")"),0)</f>
        <v>0</v>
      </c>
      <c r="N173" s="93">
        <f ca="1">IFERROR(__xludf.DUMMYFUNCTION("IMPORTRANGE(""https://docs.google.com/spreadsheets/d/1MeEWN-I1oV_STSDYn1IFDPWt_1FKiwhDph83XaGc0o0/edit?usp=sharing"",""งบพรบ!CM28"")"),0)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76500</v>
      </c>
      <c r="M181" s="155">
        <f t="shared" ca="1" si="92"/>
        <v>61500</v>
      </c>
      <c r="N181" s="155">
        <f t="shared" ca="1" si="92"/>
        <v>24440</v>
      </c>
      <c r="O181" s="155">
        <f t="shared" ref="O181:O189" ca="1" si="93">IF(L181&gt;0,N181*100/L181,0)</f>
        <v>31.947712418300654</v>
      </c>
      <c r="P181" s="155">
        <f t="shared" ref="P181:P189" ca="1" si="94">IF(M181&gt;0,N181*100/M181,0)</f>
        <v>39.739837398373986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76500</v>
      </c>
      <c r="M183" s="93">
        <f t="shared" ca="1" si="95"/>
        <v>61500</v>
      </c>
      <c r="N183" s="93">
        <f t="shared" ca="1" si="95"/>
        <v>24440</v>
      </c>
      <c r="O183" s="93">
        <f t="shared" ca="1" si="93"/>
        <v>31.947712418300654</v>
      </c>
      <c r="P183" s="93">
        <f t="shared" ca="1" si="94"/>
        <v>39.739837398373986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6">L185+L186</f>
        <v>76500</v>
      </c>
      <c r="M184" s="466">
        <f t="shared" ca="1" si="96"/>
        <v>61500</v>
      </c>
      <c r="N184" s="466">
        <f t="shared" ca="1" si="96"/>
        <v>24440</v>
      </c>
      <c r="O184" s="466">
        <f t="shared" ca="1" si="93"/>
        <v>31.947712418300654</v>
      </c>
      <c r="P184" s="466">
        <f t="shared" ca="1" si="94"/>
        <v>39.739837398373986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IFERROR(__xludf.DUMMYFUNCTION("IMPORTRANGE(""https://docs.google.com/spreadsheets/d/1MeEWN-I1oV_STSDYn1IFDPWt_1FKiwhDph83XaGc0o0/edit?usp=sharing"",""งบพรบ!CO28"")"),76500)</f>
        <v>76500</v>
      </c>
      <c r="M186" s="93">
        <f ca="1">IFERROR(__xludf.DUMMYFUNCTION("IMPORTRANGE(""https://docs.google.com/spreadsheets/d/1MeEWN-I1oV_STSDYn1IFDPWt_1FKiwhDph83XaGc0o0/edit?usp=sharing"",""งบพรบ!CT28"")"),61500)</f>
        <v>61500</v>
      </c>
      <c r="N186" s="93">
        <f ca="1">IFERROR(__xludf.DUMMYFUNCTION("IMPORTRANGE(""https://docs.google.com/spreadsheets/d/1MeEWN-I1oV_STSDYn1IFDPWt_1FKiwhDph83XaGc0o0/edit?usp=sharing"",""งบพรบ!CV28"")"),24440)</f>
        <v>24440</v>
      </c>
      <c r="O186" s="93">
        <f t="shared" ca="1" si="93"/>
        <v>31.947712418300654</v>
      </c>
      <c r="P186" s="93">
        <f t="shared" ca="1" si="94"/>
        <v>39.739837398373986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IFERROR(__xludf.DUMMYFUNCTION("IMPORTRANGE(""https://docs.google.com/spreadsheets/d/1MeEWN-I1oV_STSDYn1IFDPWt_1FKiwhDph83XaGc0o0/edit?usp=sharing"",""งบพรบ!CR28"")"),0)</f>
        <v>0</v>
      </c>
      <c r="M189" s="93">
        <f ca="1">IFERROR(__xludf.DUMMYFUNCTION("IMPORTRANGE(""https://docs.google.com/spreadsheets/d/1MeEWN-I1oV_STSDYn1IFDPWt_1FKiwhDph83XaGc0o0/edit?usp=sharing"",""งบพรบ!CU28"")"),0)</f>
        <v>0</v>
      </c>
      <c r="N189" s="93">
        <f ca="1">IFERROR(__xludf.DUMMYFUNCTION("IMPORTRANGE(""https://docs.google.com/spreadsheets/d/1MeEWN-I1oV_STSDYn1IFDPWt_1FKiwhDph83XaGc0o0/edit?usp=sharing"",""งบพรบ!CW28"")"),0)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IFERROR(__xludf.DUMMYFUNCTION("IMPORTRANGE(""https://docs.google.com/spreadsheets/d/1QqKyyYR6Q21VydFLVH3TRQUabQu_ym0Zz7PgGX0-kHA/edit?usp=sharing"",""แผน!Z28"")"),6000)</f>
        <v>6000</v>
      </c>
      <c r="M191" s="155"/>
      <c r="N191" s="276">
        <v>1240</v>
      </c>
      <c r="O191" s="155">
        <f ca="1">IF(L191&gt;0,N191*100/L191,0)</f>
        <v>20.666666666666668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IFERROR(__xludf.DUMMYFUNCTION("IMPORTRANGE(""https://docs.google.com/spreadsheets/d/1QqKyyYR6Q21VydFLVH3TRQUabQu_ym0Zz7PgGX0-kHA/edit?usp=sharing"",""แผน!AC28"")"),4)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70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70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1</v>
      </c>
      <c r="K197" s="273">
        <f ca="1">IF(I197&gt;0,J197*100/I197,0)</f>
        <v>25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52000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IFERROR(__xludf.DUMMYFUNCTION("IMPORTRANGE(""https://docs.google.com/spreadsheets/d/1QqKyyYR6Q21VydFLVH3TRQUabQu_ym0Zz7PgGX0-kHA/edit?usp=sharing"",""แผน!AE28"")"),4000)</f>
        <v>4000</v>
      </c>
      <c r="M199" s="466"/>
      <c r="N199" s="801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IFERROR(__xludf.DUMMYFUNCTION("IMPORTRANGE(""https://docs.google.com/spreadsheets/d/1QqKyyYR6Q21VydFLVH3TRQUabQu_ym0Zz7PgGX0-kHA/edit?usp=sharing"",""แผน!AF28"")"),32000)</f>
        <v>32000</v>
      </c>
      <c r="M200" s="466"/>
      <c r="N200" s="801">
        <v>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IFERROR(__xludf.DUMMYFUNCTION("IMPORTRANGE(""https://docs.google.com/spreadsheets/d/1QqKyyYR6Q21VydFLVH3TRQUabQu_ym0Zz7PgGX0-kHA/edit?usp=sharing"",""แผน!AG28"")"),16000)</f>
        <v>16000</v>
      </c>
      <c r="M201" s="466"/>
      <c r="N201" s="801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IFERROR(__xludf.DUMMYFUNCTION("IMPORTRANGE(""https://docs.google.com/spreadsheets/d/1QqKyyYR6Q21VydFLVH3TRQUabQu_ym0Zz7PgGX0-kHA/edit?usp=sharing"",""แผน!AH28"")"),0)</f>
        <v>0</v>
      </c>
      <c r="M202" s="466"/>
      <c r="N202" s="801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IFERROR(__xludf.DUMMYFUNCTION("IMPORTRANGE(""https://docs.google.com/spreadsheets/d/1QqKyyYR6Q21VydFLVH3TRQUabQu_ym0Zz7PgGX0-kHA/edit?usp=sharing"",""แผน!AI28"")"),4)</f>
        <v>4</v>
      </c>
      <c r="J204" s="215">
        <v>1</v>
      </c>
      <c r="K204" s="163">
        <f ca="1">IF(I204&gt;0,J204*100/I204,0)</f>
        <v>25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IFERROR(__xludf.DUMMYFUNCTION("IMPORTRANGE(""https://docs.google.com/spreadsheets/d/1QqKyyYR6Q21VydFLVH3TRQUabQu_ym0Zz7PgGX0-kHA/edit?usp=sharing"",""แผน!AK28"")"),0)</f>
        <v>0</v>
      </c>
      <c r="M210" s="466"/>
      <c r="N210" s="801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IFERROR(__xludf.DUMMYFUNCTION("IMPORTRANGE(""https://docs.google.com/spreadsheets/d/1QqKyyYR6Q21VydFLVH3TRQUabQu_ym0Zz7PgGX0-kHA/edit?usp=sharing"",""แผน!AL28"")"),0)</f>
        <v>0</v>
      </c>
      <c r="M211" s="466"/>
      <c r="N211" s="801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IFERROR(__xludf.DUMMYFUNCTION("IMPORTRANGE(""https://docs.google.com/spreadsheets/d/1QqKyyYR6Q21VydFLVH3TRQUabQu_ym0Zz7PgGX0-kHA/edit?usp=sharing"",""แผน!AM28"")"),0)</f>
        <v>0</v>
      </c>
      <c r="M212" s="466"/>
      <c r="N212" s="801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IFERROR(__xludf.DUMMYFUNCTION("IMPORTRANGE(""https://docs.google.com/spreadsheets/d/1QqKyyYR6Q21VydFLVH3TRQUabQu_ym0Zz7PgGX0-kHA/edit?usp=sharing"",""แผน!AN28"")"),0)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IFERROR(__xludf.DUMMYFUNCTION("IMPORTRANGE(""https://docs.google.com/spreadsheets/d/1QqKyyYR6Q21VydFLVH3TRQUabQu_ym0Zz7PgGX0-kHA/edit?usp=sharing"",""แผน!AN28"")"),0)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IFERROR(__xludf.DUMMYFUNCTION("IMPORTRANGE(""https://docs.google.com/spreadsheets/d/1QqKyyYR6Q21VydFLVH3TRQUabQu_ym0Zz7PgGX0-kHA/edit?usp=sharing"",""แผน!AP28"")"),5000)</f>
        <v>5000</v>
      </c>
      <c r="M218" s="466"/>
      <c r="N218" s="801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IFERROR(__xludf.DUMMYFUNCTION("IMPORTRANGE(""https://docs.google.com/spreadsheets/d/1QqKyyYR6Q21VydFLVH3TRQUabQu_ym0Zz7PgGX0-kHA/edit?usp=sharing"",""แผน!AQ28"")"),13500)</f>
        <v>13500</v>
      </c>
      <c r="M219" s="466"/>
      <c r="N219" s="801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IFERROR(__xludf.DUMMYFUNCTION("IMPORTRANGE(""https://docs.google.com/spreadsheets/d/1QqKyyYR6Q21VydFLVH3TRQUabQu_ym0Zz7PgGX0-kHA/edit?usp=sharing"",""แผน!AR28"")"),0)</f>
        <v>0</v>
      </c>
      <c r="M220" s="466"/>
      <c r="N220" s="801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IFERROR(__xludf.DUMMYFUNCTION("IMPORTRANGE(""https://docs.google.com/spreadsheets/d/1QqKyyYR6Q21VydFLVH3TRQUabQu_ym0Zz7PgGX0-kHA/edit?usp=sharing"",""แผน!AT28"")"),50000)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IFERROR(__xludf.DUMMYFUNCTION("IMPORTRANGE(""https://docs.google.com/spreadsheets/d/1QqKyyYR6Q21VydFLVH3TRQUabQu_ym0Zz7PgGX0-kHA/edit?usp=sharing"",""แผน!AT28"")"),50000)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IFERROR(__xludf.DUMMYFUNCTION("IMPORTRANGE(""https://docs.google.com/spreadsheets/d/1QqKyyYR6Q21VydFLVH3TRQUabQu_ym0Zz7PgGX0-kHA/edit?usp=sharing"",""แผน!AS28"")"),0)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5">I237+I248</f>
        <v>0</v>
      </c>
      <c r="J226" s="821">
        <f t="shared" si="105"/>
        <v>0</v>
      </c>
      <c r="K226" s="82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6">L238+L249</f>
        <v>0</v>
      </c>
      <c r="M227" s="831"/>
      <c r="N227" s="831">
        <f t="shared" ref="N227:N231" si="107">N238+N249</f>
        <v>0</v>
      </c>
      <c r="O227" s="832"/>
      <c r="P227" s="83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35"/>
      <c r="R229" s="835"/>
      <c r="S229" s="835"/>
      <c r="T229" s="835"/>
      <c r="U229" s="835"/>
      <c r="V229" s="835"/>
      <c r="W229" s="835"/>
      <c r="X229" s="835"/>
      <c r="Y229" s="835"/>
      <c r="Z229" s="835"/>
    </row>
    <row r="230" spans="1:2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35"/>
      <c r="R230" s="835"/>
      <c r="S230" s="835"/>
      <c r="T230" s="835"/>
      <c r="U230" s="835"/>
      <c r="V230" s="835"/>
      <c r="W230" s="835"/>
      <c r="X230" s="835"/>
      <c r="Y230" s="835"/>
      <c r="Z230" s="835"/>
    </row>
    <row r="231" spans="1:2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35"/>
      <c r="R231" s="835"/>
      <c r="S231" s="835"/>
      <c r="T231" s="835"/>
      <c r="U231" s="835"/>
      <c r="V231" s="835"/>
      <c r="W231" s="835"/>
      <c r="X231" s="835"/>
      <c r="Y231" s="835"/>
      <c r="Z231" s="835"/>
    </row>
    <row r="232" spans="1:2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IFERROR(__xludf.DUMMYFUNCTION("IMPORTRANGE(""https://docs.google.com/spreadsheets/d/1QqKyyYR6Q21VydFLVH3TRQUabQu_ym0Zz7PgGX0-kHA/edit?usp=sharing"",""แผน!AV28"")"),0)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IFERROR(__xludf.DUMMYFUNCTION("IMPORTRANGE(""https://docs.google.com/spreadsheets/d/1QqKyyYR6Q21VydFLVH3TRQUabQu_ym0Zz7PgGX0-kHA/edit?usp=sharing"",""แผน!AW28"")"),0)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IFERROR(__xludf.DUMMYFUNCTION("IMPORTRANGE(""https://docs.google.com/spreadsheets/d/1QqKyyYR6Q21VydFLVH3TRQUabQu_ym0Zz7PgGX0-kHA/edit?usp=sharing"",""แผน!AX28"")"),0)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IFERROR(__xludf.DUMMYFUNCTION("IMPORTRANGE(""https://docs.google.com/spreadsheets/d/1QqKyyYR6Q21VydFLVH3TRQUabQu_ym0Zz7PgGX0-kHA/edit?usp=sharing"",""แผน!AY28"")"),0)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IFERROR(__xludf.DUMMYFUNCTION("IMPORTRANGE(""https://docs.google.com/spreadsheets/d/1QqKyyYR6Q21VydFLVH3TRQUabQu_ym0Zz7PgGX0-kHA/edit?usp=sharing"",""แผน!BE28"")"),0)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IFERROR(__xludf.DUMMYFUNCTION("IMPORTRANGE(""https://docs.google.com/spreadsheets/d/1QqKyyYR6Q21VydFLVH3TRQUabQu_ym0Zz7PgGX0-kHA/edit?usp=sharing"",""แผน!AZ28"")"),0)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IFERROR(__xludf.DUMMYFUNCTION("IMPORTRANGE(""https://docs.google.com/spreadsheets/d/1QqKyyYR6Q21VydFLVH3TRQUabQu_ym0Zz7PgGX0-kHA/edit?usp=sharing"",""แผน!BA28"")"),0)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IFERROR(__xludf.DUMMYFUNCTION("IMPORTRANGE(""https://docs.google.com/spreadsheets/d/1QqKyyYR6Q21VydFLVH3TRQUabQu_ym0Zz7PgGX0-kHA/edit?usp=sharing"",""แผน!BB28"")"),0)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IFERROR(__xludf.DUMMYFUNCTION("IMPORTRANGE(""https://docs.google.com/spreadsheets/d/1QqKyyYR6Q21VydFLVH3TRQUabQu_ym0Zz7PgGX0-kHA/edit?usp=sharing"",""แผน!BC28"")"),0)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IFERROR(__xludf.DUMMYFUNCTION("IMPORTRANGE(""https://docs.google.com/spreadsheets/d/1QqKyyYR6Q21VydFLVH3TRQUabQu_ym0Zz7PgGX0-kHA/edit?usp=sharing"",""แผน!BF28"")"),0)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24830</v>
      </c>
      <c r="O261" s="155">
        <f t="shared" ref="O261:O269" ca="1" si="117">IF(L261&gt;0,N261*100/L261,0)</f>
        <v>80.879478827361567</v>
      </c>
      <c r="P261" s="155">
        <f t="shared" ref="P261:P269" ca="1" si="118">IF(M261&gt;0,N261*100/M261,0)</f>
        <v>89.638989169675085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24830</v>
      </c>
      <c r="O263" s="93">
        <f t="shared" ca="1" si="117"/>
        <v>80.879478827361567</v>
      </c>
      <c r="P263" s="93">
        <f t="shared" ca="1" si="118"/>
        <v>89.638989169675085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27700</v>
      </c>
      <c r="N264" s="466">
        <f t="shared" ca="1" si="120"/>
        <v>24830</v>
      </c>
      <c r="O264" s="466">
        <f t="shared" ca="1" si="117"/>
        <v>80.879478827361567</v>
      </c>
      <c r="P264" s="466">
        <f t="shared" ca="1" si="118"/>
        <v>89.638989169675085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IFERROR(__xludf.DUMMYFUNCTION("IMPORTRANGE(""https://docs.google.com/spreadsheets/d/1MeEWN-I1oV_STSDYn1IFDPWt_1FKiwhDph83XaGc0o0/edit?usp=sharing"",""งบพรบ!CY28"")"),30700)</f>
        <v>30700</v>
      </c>
      <c r="M266" s="93">
        <f ca="1">IFERROR(__xludf.DUMMYFUNCTION("IMPORTRANGE(""https://docs.google.com/spreadsheets/d/1MeEWN-I1oV_STSDYn1IFDPWt_1FKiwhDph83XaGc0o0/edit?usp=sharing"",""งบพรบ!DD28"")"),27700)</f>
        <v>27700</v>
      </c>
      <c r="N266" s="93">
        <f ca="1">IFERROR(__xludf.DUMMYFUNCTION("IMPORTRANGE(""https://docs.google.com/spreadsheets/d/1MeEWN-I1oV_STSDYn1IFDPWt_1FKiwhDph83XaGc0o0/edit?usp=sharing"",""งบพรบ!DF28"")"),24830)</f>
        <v>24830</v>
      </c>
      <c r="O266" s="93">
        <f t="shared" ca="1" si="117"/>
        <v>80.879478827361567</v>
      </c>
      <c r="P266" s="93">
        <f t="shared" ca="1" si="118"/>
        <v>89.638989169675085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IFERROR(__xludf.DUMMYFUNCTION("IMPORTRANGE(""https://docs.google.com/spreadsheets/d/1MeEWN-I1oV_STSDYn1IFDPWt_1FKiwhDph83XaGc0o0/edit?usp=sharing"",""งบพรบ!DB28"")"),0)</f>
        <v>0</v>
      </c>
      <c r="M269" s="93">
        <f ca="1">IFERROR(__xludf.DUMMYFUNCTION("IMPORTRANGE(""https://docs.google.com/spreadsheets/d/1MeEWN-I1oV_STSDYn1IFDPWt_1FKiwhDph83XaGc0o0/edit?usp=sharing"",""งบพรบ!DE28"")"),0)</f>
        <v>0</v>
      </c>
      <c r="N269" s="93">
        <f ca="1">IFERROR(__xludf.DUMMYFUNCTION("IMPORTRANGE(""https://docs.google.com/spreadsheets/d/1MeEWN-I1oV_STSDYn1IFDPWt_1FKiwhDph83XaGc0o0/edit?usp=sharing"",""งบพรบ!DG28"")"),0)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IFERROR(__xludf.DUMMYFUNCTION("IMPORTRANGE(""https://docs.google.com/spreadsheets/d/1QqKyyYR6Q21VydFLVH3TRQUabQu_ym0Zz7PgGX0-kHA/edit?usp=sharing"",""แผน!EA28"")"),26)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20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4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26150</v>
      </c>
      <c r="O277" s="155">
        <f t="shared" ref="O277:O285" ca="1" si="126">IF(L277&gt;0,N277*100/L277,0)</f>
        <v>34.571655208884188</v>
      </c>
      <c r="P277" s="155">
        <f t="shared" ref="P277:P285" ca="1" si="127">IF(M277&gt;0,N277*100/M277,0)</f>
        <v>69.696162046908313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26150</v>
      </c>
      <c r="O279" s="93">
        <f t="shared" ca="1" si="126"/>
        <v>34.571655208884188</v>
      </c>
      <c r="P279" s="93">
        <f t="shared" ca="1" si="127"/>
        <v>69.696162046908313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29">L281+L282</f>
        <v>75640</v>
      </c>
      <c r="M280" s="466">
        <f t="shared" ca="1" si="129"/>
        <v>37520</v>
      </c>
      <c r="N280" s="466">
        <f t="shared" ca="1" si="129"/>
        <v>26150</v>
      </c>
      <c r="O280" s="466">
        <f t="shared" ca="1" si="126"/>
        <v>34.571655208884188</v>
      </c>
      <c r="P280" s="466">
        <f t="shared" ca="1" si="127"/>
        <v>69.696162046908313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IFERROR(__xludf.DUMMYFUNCTION("IMPORTRANGE(""https://docs.google.com/spreadsheets/d/1MeEWN-I1oV_STSDYn1IFDPWt_1FKiwhDph83XaGc0o0/edit?usp=sharing"",""งบพรบ!DI28"")"),75640)</f>
        <v>75640</v>
      </c>
      <c r="M282" s="93">
        <f ca="1">IFERROR(__xludf.DUMMYFUNCTION("IMPORTRANGE(""https://docs.google.com/spreadsheets/d/1MeEWN-I1oV_STSDYn1IFDPWt_1FKiwhDph83XaGc0o0/edit?usp=sharing"",""งบพรบ!DN28"")"),37520)</f>
        <v>37520</v>
      </c>
      <c r="N282" s="93">
        <f ca="1">IFERROR(__xludf.DUMMYFUNCTION("IMPORTRANGE(""https://docs.google.com/spreadsheets/d/1MeEWN-I1oV_STSDYn1IFDPWt_1FKiwhDph83XaGc0o0/edit?usp=sharing"",""งบพรบ!DP28"")"),26150)</f>
        <v>26150</v>
      </c>
      <c r="O282" s="93">
        <f t="shared" ca="1" si="126"/>
        <v>34.571655208884188</v>
      </c>
      <c r="P282" s="93">
        <f t="shared" ca="1" si="127"/>
        <v>69.696162046908313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IFERROR(__xludf.DUMMYFUNCTION("IMPORTRANGE(""https://docs.google.com/spreadsheets/d/1MeEWN-I1oV_STSDYn1IFDPWt_1FKiwhDph83XaGc0o0/edit?usp=sharing"",""งบพรบ!DL28"")"),0)</f>
        <v>0</v>
      </c>
      <c r="M285" s="93">
        <f ca="1">IFERROR(__xludf.DUMMYFUNCTION("IMPORTRANGE(""https://docs.google.com/spreadsheets/d/1MeEWN-I1oV_STSDYn1IFDPWt_1FKiwhDph83XaGc0o0/edit?usp=sharing"",""งบพรบ!DO28"")"),0)</f>
        <v>0</v>
      </c>
      <c r="N285" s="93">
        <f ca="1">IFERROR(__xludf.DUMMYFUNCTION("IMPORTRANGE(""https://docs.google.com/spreadsheets/d/1MeEWN-I1oV_STSDYn1IFDPWt_1FKiwhDph83XaGc0o0/edit?usp=sharing"",""งบพรบ!DQ28"")"),0)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IFERROR(__xludf.DUMMYFUNCTION("IMPORTRANGE(""https://docs.google.com/spreadsheets/d/1QqKyyYR6Q21VydFLVH3TRQUabQu_ym0Zz7PgGX0-kHA/edit?usp=sharing"",""แผน!EC28"")"),200)</f>
        <v>200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IFERROR(__xludf.DUMMYFUNCTION("IMPORTRANGE(""https://docs.google.com/spreadsheets/d/1QqKyyYR6Q21VydFLVH3TRQUabQu_ym0Zz7PgGX0-kHA/edit?usp=sharing"",""แผน!EB28"")"),20)</f>
        <v>20</v>
      </c>
      <c r="J288" s="648">
        <f ca="1">IF(AND(J291&gt;=I288,J294&gt;=I288),J294,0)</f>
        <v>20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IFERROR(__xludf.DUMMYFUNCTION("IMPORTRANGE(""https://docs.google.com/spreadsheets/d/1QqKyyYR6Q21VydFLVH3TRQUabQu_ym0Zz7PgGX0-kHA/edit?usp=sharing"",""แผน!EB28"")"),20)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IFERROR(__xludf.DUMMYFUNCTION("IMPORTRANGE(""https://docs.google.com/spreadsheets/d/1QqKyyYR6Q21VydFLVH3TRQUabQu_ym0Zz7PgGX0-kHA/edit?usp=sharing"",""แผน!EB28"")"),20)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IFERROR(__xludf.DUMMYFUNCTION("IMPORTRANGE(""https://docs.google.com/spreadsheets/d/1QqKyyYR6Q21VydFLVH3TRQUabQu_ym0Zz7PgGX0-kHA/edit?usp=sharing"",""แผน!EB28"")"),20)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1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IFERROR(__xludf.DUMMYFUNCTION("IMPORTRANGE(""https://docs.google.com/spreadsheets/d/1QqKyyYR6Q21VydFLVH3TRQUabQu_ym0Zz7PgGX0-kHA/edit?usp=sharing"",""แผน!EB28"")"),20)</f>
        <v>20</v>
      </c>
      <c r="J294" s="393">
        <v>20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4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168400</v>
      </c>
      <c r="N298" s="155">
        <f t="shared" ca="1" si="135"/>
        <v>79200.320000000007</v>
      </c>
      <c r="O298" s="155">
        <f t="shared" ref="O298:O306" ca="1" si="136">IF(L298&gt;0,N298*100/L298,0)</f>
        <v>35.137675244010651</v>
      </c>
      <c r="P298" s="155">
        <f t="shared" ref="P298:P306" ca="1" si="137">IF(M298&gt;0,N298*100/M298,0)</f>
        <v>47.031068883610459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225400</v>
      </c>
      <c r="M300" s="93">
        <f t="shared" ca="1" si="138"/>
        <v>168400</v>
      </c>
      <c r="N300" s="93">
        <f t="shared" ca="1" si="138"/>
        <v>79200.320000000007</v>
      </c>
      <c r="O300" s="93">
        <f t="shared" ca="1" si="136"/>
        <v>35.137675244010651</v>
      </c>
      <c r="P300" s="93">
        <f t="shared" ca="1" si="137"/>
        <v>47.031068883610459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168400</v>
      </c>
      <c r="N301" s="466">
        <f t="shared" ca="1" si="139"/>
        <v>79200.320000000007</v>
      </c>
      <c r="O301" s="466">
        <f t="shared" ca="1" si="136"/>
        <v>35.137675244010651</v>
      </c>
      <c r="P301" s="466">
        <f t="shared" ca="1" si="137"/>
        <v>47.031068883610459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IFERROR(__xludf.DUMMYFUNCTION("IMPORTRANGE(""https://docs.google.com/spreadsheets/d/1MeEWN-I1oV_STSDYn1IFDPWt_1FKiwhDph83XaGc0o0/edit?usp=sharing"",""งบพรบ!DS28"")"),225400)</f>
        <v>225400</v>
      </c>
      <c r="M303" s="93">
        <f ca="1">IFERROR(__xludf.DUMMYFUNCTION("IMPORTRANGE(""https://docs.google.com/spreadsheets/d/1MeEWN-I1oV_STSDYn1IFDPWt_1FKiwhDph83XaGc0o0/edit?usp=sharing"",""งบพรบ!DX28"")"),168400)</f>
        <v>168400</v>
      </c>
      <c r="N303" s="93">
        <f ca="1">IFERROR(__xludf.DUMMYFUNCTION("IMPORTRANGE(""https://docs.google.com/spreadsheets/d/1MeEWN-I1oV_STSDYn1IFDPWt_1FKiwhDph83XaGc0o0/edit?usp=sharing"",""งบพรบ!DZ28"")"),79200.32)</f>
        <v>79200.320000000007</v>
      </c>
      <c r="O303" s="93">
        <f t="shared" ca="1" si="136"/>
        <v>35.137675244010651</v>
      </c>
      <c r="P303" s="93">
        <f t="shared" ca="1" si="137"/>
        <v>47.031068883610459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IFERROR(__xludf.DUMMYFUNCTION("IMPORTRANGE(""https://docs.google.com/spreadsheets/d/1MeEWN-I1oV_STSDYn1IFDPWt_1FKiwhDph83XaGc0o0/edit?usp=sharing"",""งบพรบ!DV28"")"),0)</f>
        <v>0</v>
      </c>
      <c r="M306" s="93">
        <f ca="1">IFERROR(__xludf.DUMMYFUNCTION("IMPORTRANGE(""https://docs.google.com/spreadsheets/d/1MeEWN-I1oV_STSDYn1IFDPWt_1FKiwhDph83XaGc0o0/edit?usp=sharing"",""งบพรบ!DY28"")"),0)</f>
        <v>0</v>
      </c>
      <c r="N306" s="93">
        <f ca="1">IFERROR(__xludf.DUMMYFUNCTION("IMPORTRANGE(""https://docs.google.com/spreadsheets/d/1MeEWN-I1oV_STSDYn1IFDPWt_1FKiwhDph83XaGc0o0/edit?usp=sharing"",""งบพรบ!EA28"")"),0)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IFERROR(__xludf.DUMMYFUNCTION("IMPORTRANGE(""https://docs.google.com/spreadsheets/d/1QqKyyYR6Q21VydFLVH3TRQUabQu_ym0Zz7PgGX0-kHA/edit?usp=sharing"",""แผน!ED28"")"),20)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IFERROR(__xludf.DUMMYFUNCTION("IMPORTRANGE(""https://docs.google.com/spreadsheets/d/1QqKyyYR6Q21VydFLVH3TRQUabQu_ym0Zz7PgGX0-kHA/edit?usp=sharing"",""แผน!ED28"")"),20)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IFERROR(__xludf.DUMMYFUNCTION("IMPORTRANGE(""https://docs.google.com/spreadsheets/d/1QqKyyYR6Q21VydFLVH3TRQUabQu_ym0Zz7PgGX0-kHA/edit?usp=sharing"",""แผน!ED28"")"),20)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IFERROR(__xludf.DUMMYFUNCTION("IMPORTRANGE(""https://docs.google.com/spreadsheets/d/1QqKyyYR6Q21VydFLVH3TRQUabQu_ym0Zz7PgGX0-kHA/edit?usp=sharing"",""แผน!EE28"")"),4)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4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IFERROR(__xludf.DUMMYFUNCTION("IMPORTRANGE(""https://docs.google.com/spreadsheets/d/1MeEWN-I1oV_STSDYn1IFDPWt_1FKiwhDph83XaGc0o0/edit?usp=sharing"",""งบพรบ!EC28"")"),0)</f>
        <v>0</v>
      </c>
      <c r="M320" s="93">
        <f ca="1">IFERROR(__xludf.DUMMYFUNCTION("IMPORTRANGE(""https://docs.google.com/spreadsheets/d/1MeEWN-I1oV_STSDYn1IFDPWt_1FKiwhDph83XaGc0o0/edit?usp=sharing"",""งบพรบ!EH28"")"),0)</f>
        <v>0</v>
      </c>
      <c r="N320" s="93">
        <f ca="1">IFERROR(__xludf.DUMMYFUNCTION("IMPORTRANGE(""https://docs.google.com/spreadsheets/d/1MeEWN-I1oV_STSDYn1IFDPWt_1FKiwhDph83XaGc0o0/edit?usp=sharing"",""งบพรบ!EJ28"")"),0)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IFERROR(__xludf.DUMMYFUNCTION("IMPORTRANGE(""https://docs.google.com/spreadsheets/d/1MeEWN-I1oV_STSDYn1IFDPWt_1FKiwhDph83XaGc0o0/edit?usp=sharing"",""งบพรบ!EF28"")"),0)</f>
        <v>0</v>
      </c>
      <c r="M323" s="93">
        <f ca="1">IFERROR(__xludf.DUMMYFUNCTION("IMPORTRANGE(""https://docs.google.com/spreadsheets/d/1MeEWN-I1oV_STSDYn1IFDPWt_1FKiwhDph83XaGc0o0/edit?usp=sharing"",""งบพรบ!EI28"")"),0)</f>
        <v>0</v>
      </c>
      <c r="N323" s="93">
        <f ca="1">IFERROR(__xludf.DUMMYFUNCTION("IMPORTRANGE(""https://docs.google.com/spreadsheets/d/1MeEWN-I1oV_STSDYn1IFDPWt_1FKiwhDph83XaGc0o0/edit?usp=sharing"",""งบพรบ!EK28"")"),0)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IFERROR(__xludf.DUMMYFUNCTION("IMPORTRANGE(""https://docs.google.com/spreadsheets/d/1QqKyyYR6Q21VydFLVH3TRQUabQu_ym0Zz7PgGX0-kHA/edit?usp=sharing"",""แผน!EF28"")"),0)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IFERROR(__xludf.DUMMYFUNCTION("IMPORTRANGE(""https://docs.google.com/spreadsheets/d/1QqKyyYR6Q21VydFLVH3TRQUabQu_ym0Zz7PgGX0-kHA/edit?usp=sharing"",""แผน!EG28"")"),5600)</f>
        <v>5600</v>
      </c>
      <c r="J327" s="413">
        <f ca="1">J338+J341+J342+J343</f>
        <v>3286</v>
      </c>
      <c r="K327" s="414">
        <f ca="1">IF(I327&gt;0,J327*100/I327,0)</f>
        <v>58.678571428571431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4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136500</v>
      </c>
      <c r="N328" s="155">
        <f t="shared" ca="1" si="149"/>
        <v>45506.67</v>
      </c>
      <c r="O328" s="155">
        <f t="shared" ref="O328:O336" ca="1" si="150">IF(L328&gt;0,N328*100/L328,0)</f>
        <v>25.003664835164834</v>
      </c>
      <c r="P328" s="155">
        <f t="shared" ref="P328:P336" ca="1" si="151">IF(M328&gt;0,N328*100/M328,0)</f>
        <v>33.338219780219781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182000</v>
      </c>
      <c r="M330" s="93">
        <f t="shared" ca="1" si="152"/>
        <v>136500</v>
      </c>
      <c r="N330" s="93">
        <f t="shared" ca="1" si="152"/>
        <v>45506.67</v>
      </c>
      <c r="O330" s="93">
        <f t="shared" ca="1" si="150"/>
        <v>25.003664835164834</v>
      </c>
      <c r="P330" s="93">
        <f t="shared" ca="1" si="151"/>
        <v>33.338219780219781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136500</v>
      </c>
      <c r="N331" s="466">
        <f t="shared" ca="1" si="153"/>
        <v>45506.67</v>
      </c>
      <c r="O331" s="466">
        <f t="shared" ca="1" si="150"/>
        <v>25.003664835164834</v>
      </c>
      <c r="P331" s="466">
        <f t="shared" ca="1" si="151"/>
        <v>33.338219780219781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IFERROR(__xludf.DUMMYFUNCTION("IMPORTRANGE(""https://docs.google.com/spreadsheets/d/1MeEWN-I1oV_STSDYn1IFDPWt_1FKiwhDph83XaGc0o0/edit?usp=sharing"",""งบพรบ!EM28"")"),182000)</f>
        <v>182000</v>
      </c>
      <c r="M333" s="93">
        <f ca="1">IFERROR(__xludf.DUMMYFUNCTION("IMPORTRANGE(""https://docs.google.com/spreadsheets/d/1MeEWN-I1oV_STSDYn1IFDPWt_1FKiwhDph83XaGc0o0/edit?usp=sharing"",""งบพรบ!ER28"")"),136500)</f>
        <v>136500</v>
      </c>
      <c r="N333" s="93">
        <f ca="1">IFERROR(__xludf.DUMMYFUNCTION("IMPORTRANGE(""https://docs.google.com/spreadsheets/d/1MeEWN-I1oV_STSDYn1IFDPWt_1FKiwhDph83XaGc0o0/edit?usp=sharing"",""งบพรบ!ET28"")"),45506.67)</f>
        <v>45506.67</v>
      </c>
      <c r="O333" s="93">
        <f t="shared" ca="1" si="150"/>
        <v>25.003664835164834</v>
      </c>
      <c r="P333" s="93">
        <f t="shared" ca="1" si="151"/>
        <v>33.338219780219781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IFERROR(__xludf.DUMMYFUNCTION("IMPORTRANGE(""https://docs.google.com/spreadsheets/d/1MeEWN-I1oV_STSDYn1IFDPWt_1FKiwhDph83XaGc0o0/edit?usp=sharing"",""งบพรบ!EP28"")"),0)</f>
        <v>0</v>
      </c>
      <c r="M336" s="93">
        <f ca="1">IFERROR(__xludf.DUMMYFUNCTION("IMPORTRANGE(""https://docs.google.com/spreadsheets/d/1MeEWN-I1oV_STSDYn1IFDPWt_1FKiwhDph83XaGc0o0/edit?usp=sharing"",""งบพรบ!ES28"")"),0)</f>
        <v>0</v>
      </c>
      <c r="N336" s="93">
        <f ca="1">IFERROR(__xludf.DUMMYFUNCTION("IMPORTRANGE(""https://docs.google.com/spreadsheets/d/1MeEWN-I1oV_STSDYn1IFDPWt_1FKiwhDph83XaGc0o0/edit?usp=sharing"",""งบพรบ!EU28"")"),0)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IFERROR(__xludf.DUMMYFUNCTION("IMPORTRANGE(""https://docs.google.com/spreadsheets/d/1QqKyyYR6Q21VydFLVH3TRQUabQu_ym0Zz7PgGX0-kHA/edit?usp=sharing"",""แผน!EG28"")"),5600)</f>
        <v>5600</v>
      </c>
      <c r="J338" s="270">
        <f ca="1">IFERROR(__xludf.DUMMYFUNCTION("IMPORTRANGE(""https://docs.google.com/spreadsheets/d/1kVcqe37tkHyjCSG3S0O1AXqVkqjo8mSIZil3BcpIysc/edit?usp=sharing"",""ศูนย์!D28"")"),3086)</f>
        <v>3086</v>
      </c>
      <c r="K338" s="466">
        <f ca="1">IF(I338&gt;0,J338*100/I338,0)</f>
        <v>55.107142857142854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IFERROR(__xludf.DUMMYFUNCTION("IMPORTRANGE(""https://docs.google.com/spreadsheets/d/1QqKyyYR6Q21VydFLVH3TRQUabQu_ym0Zz7PgGX0-kHA/edit?usp=sharing"",""แผน!EH28"")"),7)</f>
        <v>7</v>
      </c>
      <c r="J340" s="270">
        <f ca="1">IFERROR(__xludf.DUMMYFUNCTION("IMPORTRANGE(""https://docs.google.com/spreadsheets/d/1kVcqe37tkHyjCSG3S0O1AXqVkqjo8mSIZil3BcpIysc/edit?usp=sharing"",""ศูนย์!E28"")"),5)</f>
        <v>5</v>
      </c>
      <c r="K340" s="466">
        <f ca="1">IF(I340&gt;0,J340*100/I340,0)</f>
        <v>71.428571428571431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IFERROR(__xludf.DUMMYFUNCTION("IMPORTRANGE(""https://docs.google.com/spreadsheets/d/1kVcqe37tkHyjCSG3S0O1AXqVkqjo8mSIZil3BcpIysc/edit?usp=sharing"",""ศูนย์!F28"")"),195)</f>
        <v>195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IFERROR(__xludf.DUMMYFUNCTION("IMPORTRANGE(""https://docs.google.com/spreadsheets/d/1kVcqe37tkHyjCSG3S0O1AXqVkqjo8mSIZil3BcpIysc/edit?usp=sharing"",""ศูนย์!G28"")"),5)</f>
        <v>5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IFERROR(__xludf.DUMMYFUNCTION("IMPORTRANGE(""https://docs.google.com/spreadsheets/d/1kVcqe37tkHyjCSG3S0O1AXqVkqjo8mSIZil3BcpIysc/edit?usp=sharing"",""ศูนย์!H28"")"),0)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4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593930</v>
      </c>
      <c r="M345" s="155">
        <f t="shared" ca="1" si="155"/>
        <v>483660</v>
      </c>
      <c r="N345" s="155">
        <f t="shared" ca="1" si="155"/>
        <v>231720</v>
      </c>
      <c r="O345" s="155">
        <f t="shared" ref="O345:O353" ca="1" si="156">IF(L345&gt;0,N345*100/L345,0)</f>
        <v>39.014698701867225</v>
      </c>
      <c r="P345" s="155">
        <f t="shared" ref="P345:P353" ca="1" si="157">IF(M345&gt;0,N345*100/M345,0)</f>
        <v>47.909688624240168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593930</v>
      </c>
      <c r="M347" s="93">
        <f t="shared" ca="1" si="158"/>
        <v>483660</v>
      </c>
      <c r="N347" s="93">
        <f t="shared" ca="1" si="158"/>
        <v>231720</v>
      </c>
      <c r="O347" s="93">
        <f t="shared" ca="1" si="156"/>
        <v>39.014698701867225</v>
      </c>
      <c r="P347" s="93">
        <f t="shared" ca="1" si="157"/>
        <v>47.909688624240168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59">L349+L350</f>
        <v>496130</v>
      </c>
      <c r="M348" s="466">
        <f t="shared" ca="1" si="159"/>
        <v>385860</v>
      </c>
      <c r="N348" s="466">
        <f t="shared" ca="1" si="159"/>
        <v>133920</v>
      </c>
      <c r="O348" s="466">
        <f t="shared" ca="1" si="156"/>
        <v>26.992925241368191</v>
      </c>
      <c r="P348" s="466">
        <f t="shared" ca="1" si="157"/>
        <v>34.706888508785568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IFERROR(__xludf.DUMMYFUNCTION("IMPORTRANGE(""https://docs.google.com/spreadsheets/d/1MeEWN-I1oV_STSDYn1IFDPWt_1FKiwhDph83XaGc0o0/edit?usp=sharing"",""งบพรบ!EW28"")"),496130)</f>
        <v>496130</v>
      </c>
      <c r="M350" s="93">
        <f ca="1">IFERROR(__xludf.DUMMYFUNCTION("IMPORTRANGE(""https://docs.google.com/spreadsheets/d/1MeEWN-I1oV_STSDYn1IFDPWt_1FKiwhDph83XaGc0o0/edit?usp=sharing"",""งบพรบ!FB28"")"),385860)</f>
        <v>385860</v>
      </c>
      <c r="N350" s="93">
        <f ca="1">IFERROR(__xludf.DUMMYFUNCTION("IMPORTRANGE(""https://docs.google.com/spreadsheets/d/1MeEWN-I1oV_STSDYn1IFDPWt_1FKiwhDph83XaGc0o0/edit?usp=sharing"",""งบพรบ!FD28"")"),133920)</f>
        <v>133920</v>
      </c>
      <c r="O350" s="93">
        <f t="shared" ca="1" si="156"/>
        <v>26.992925241368191</v>
      </c>
      <c r="P350" s="93">
        <f t="shared" ca="1" si="157"/>
        <v>34.706888508785568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97800</v>
      </c>
      <c r="M351" s="466">
        <f t="shared" ca="1" si="160"/>
        <v>97800</v>
      </c>
      <c r="N351" s="466">
        <f t="shared" ca="1" si="160"/>
        <v>97800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IFERROR(__xludf.DUMMYFUNCTION("IMPORTRANGE(""https://docs.google.com/spreadsheets/d/1MeEWN-I1oV_STSDYn1IFDPWt_1FKiwhDph83XaGc0o0/edit?usp=sharing"",""งบพรบ!EZ28"")"),97800)</f>
        <v>97800</v>
      </c>
      <c r="M353" s="93">
        <f ca="1">IFERROR(__xludf.DUMMYFUNCTION("IMPORTRANGE(""https://docs.google.com/spreadsheets/d/1MeEWN-I1oV_STSDYn1IFDPWt_1FKiwhDph83XaGc0o0/edit?usp=sharing"",""งบพรบ!FC28"")"),97800)</f>
        <v>97800</v>
      </c>
      <c r="N353" s="93">
        <f ca="1">IFERROR(__xludf.DUMMYFUNCTION("IMPORTRANGE(""https://docs.google.com/spreadsheets/d/1MeEWN-I1oV_STSDYn1IFDPWt_1FKiwhDph83XaGc0o0/edit?usp=sharing"",""งบพรบ!FE28"")"),97800)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IFERROR(__xludf.DUMMYFUNCTION("IMPORTRANGE(""https://docs.google.com/spreadsheets/d/1QqKyyYR6Q21VydFLVH3TRQUabQu_ym0Zz7PgGX0-kHA/edit?usp=sharing"",""แผน!EP28"")"),190)</f>
        <v>190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IFERROR(__xludf.DUMMYFUNCTION("IMPORTRANGE(""https://docs.google.com/spreadsheets/d/1XWAQStnk-4SwqDmLtmXYiTMKHgktTP8We1SCoS47DrQ/edit?usp=sharing"",""จัดที่ดิน!W28"")"),115)</f>
        <v>115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IFERROR(__xludf.DUMMYFUNCTION("IMPORTRANGE(""https://docs.google.com/spreadsheets/d/1QqKyyYR6Q21VydFLVH3TRQUabQu_ym0Zz7PgGX0-kHA/edit?usp=sharing"",""แผน!EO28"")"),1800)</f>
        <v>1800</v>
      </c>
      <c r="J359" s="270">
        <f ca="1">IFERROR(__xludf.DUMMYFUNCTION("IMPORTRANGE(""https://docs.google.com/spreadsheets/d/1XWAQStnk-4SwqDmLtmXYiTMKHgktTP8We1SCoS47DrQ/edit?usp=sharing"",""จัดที่ดิน!X28"")"),948.17)</f>
        <v>948.17</v>
      </c>
      <c r="K359" s="466">
        <f t="shared" ca="1" si="161"/>
        <v>52.676111111111112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IFERROR(__xludf.DUMMYFUNCTION("IMPORTRANGE(""https://docs.google.com/spreadsheets/d/1QqKyyYR6Q21VydFLVH3TRQUabQu_ym0Zz7PgGX0-kHA/edit?usp=sharing"",""แผน!EP28"")"),190)</f>
        <v>190</v>
      </c>
      <c r="J360" s="270">
        <f ca="1">IFERROR(__xludf.DUMMYFUNCTION("IMPORTRANGE(""https://docs.google.com/spreadsheets/d/1XWAQStnk-4SwqDmLtmXYiTMKHgktTP8We1SCoS47DrQ/edit?usp=sharing"",""จัดที่ดิน!Y28"")"),95)</f>
        <v>95</v>
      </c>
      <c r="K360" s="466">
        <f t="shared" ca="1" si="161"/>
        <v>50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IFERROR(__xludf.DUMMYFUNCTION("IMPORTRANGE(""https://docs.google.com/spreadsheets/d/1XWAQStnk-4SwqDmLtmXYiTMKHgktTP8We1SCoS47DrQ/edit?usp=sharing"",""จัดที่ดิน!Z28"")"),738.61)</f>
        <v>738.61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IFERROR(__xludf.DUMMYFUNCTION("IMPORTRANGE(""https://docs.google.com/spreadsheets/d/1QqKyyYR6Q21VydFLVH3TRQUabQu_ym0Zz7PgGX0-kHA/edit?usp=sharing"",""แผน!EP28"")"),190)</f>
        <v>190</v>
      </c>
      <c r="J362" s="270">
        <f ca="1">IFERROR(__xludf.DUMMYFUNCTION("IMPORTRANGE(""https://docs.google.com/spreadsheets/d/1XWAQStnk-4SwqDmLtmXYiTMKHgktTP8We1SCoS47DrQ/edit?usp=sharing"",""จัดที่ดิน!AA28"")"),0)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IFERROR(__xludf.DUMMYFUNCTION("IMPORTRANGE(""https://docs.google.com/spreadsheets/d/1XWAQStnk-4SwqDmLtmXYiTMKHgktTP8We1SCoS47DrQ/edit?usp=sharing"",""จัดที่ดิน!AB28"")"),0)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690</v>
      </c>
      <c r="J364" s="447">
        <f t="shared" ca="1" si="162"/>
        <v>204</v>
      </c>
      <c r="K364" s="448">
        <f t="shared" ca="1" si="161"/>
        <v>29.565217391304348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IFERROR(__xludf.DUMMYFUNCTION("IMPORTRANGE(""https://docs.google.com/spreadsheets/d/1QqKyyYR6Q21VydFLVH3TRQUabQu_ym0Zz7PgGX0-kHA/edit?usp=sharing"",""แผน!EJ28"")"),40)</f>
        <v>40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IFERROR(__xludf.DUMMYFUNCTION("IMPORTRANGE(""https://docs.google.com/spreadsheets/d/1XWAQStnk-4SwqDmLtmXYiTMKHgktTP8We1SCoS47DrQ/edit?usp=sharing"",""จัดที่ดิน!E28"")"),20)</f>
        <v>20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IFERROR(__xludf.DUMMYFUNCTION("IMPORTRANGE(""https://docs.google.com/spreadsheets/d/1QqKyyYR6Q21VydFLVH3TRQUabQu_ym0Zz7PgGX0-kHA/edit?usp=sharing"",""แผน!EI28"")"),600)</f>
        <v>600</v>
      </c>
      <c r="J369" s="270">
        <f ca="1">IFERROR(__xludf.DUMMYFUNCTION("IMPORTRANGE(""https://docs.google.com/spreadsheets/d/1XWAQStnk-4SwqDmLtmXYiTMKHgktTP8We1SCoS47DrQ/edit?usp=sharing"",""จัดที่ดิน!F28"")"),209.56)</f>
        <v>209.56</v>
      </c>
      <c r="K369" s="466">
        <f t="shared" ca="1" si="163"/>
        <v>34.926666666666669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IFERROR(__xludf.DUMMYFUNCTION("IMPORTRANGE(""https://docs.google.com/spreadsheets/d/1QqKyyYR6Q21VydFLVH3TRQUabQu_ym0Zz7PgGX0-kHA/edit?usp=sharing"",""แผน!EJ28"")"),40)</f>
        <v>40</v>
      </c>
      <c r="J370" s="270">
        <f ca="1">IFERROR(__xludf.DUMMYFUNCTION("IMPORTRANGE(""https://docs.google.com/spreadsheets/d/1XWAQStnk-4SwqDmLtmXYiTMKHgktTP8We1SCoS47DrQ/edit?usp=sharing"",""จัดที่ดิน!G28"")"),0)</f>
        <v>0</v>
      </c>
      <c r="K370" s="466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IFERROR(__xludf.DUMMYFUNCTION("IMPORTRANGE(""https://docs.google.com/spreadsheets/d/1XWAQStnk-4SwqDmLtmXYiTMKHgktTP8We1SCoS47DrQ/edit?usp=sharing"",""จัดที่ดิน!H28"")"),0)</f>
        <v>0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IFERROR(__xludf.DUMMYFUNCTION("IMPORTRANGE(""https://docs.google.com/spreadsheets/d/1QqKyyYR6Q21VydFLVH3TRQUabQu_ym0Zz7PgGX0-kHA/edit?usp=sharing"",""แผน!EJ28"")"),40)</f>
        <v>40</v>
      </c>
      <c r="J372" s="270">
        <f ca="1">IFERROR(__xludf.DUMMYFUNCTION("IMPORTRANGE(""https://docs.google.com/spreadsheets/d/1XWAQStnk-4SwqDmLtmXYiTMKHgktTP8We1SCoS47DrQ/edit?usp=sharing"",""จัดที่ดิน!I28"")"),0)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IFERROR(__xludf.DUMMYFUNCTION("IMPORTRANGE(""https://docs.google.com/spreadsheets/d/1XWAQStnk-4SwqDmLtmXYiTMKHgktTP8We1SCoS47DrQ/edit?usp=sharing"",""จัดที่ดิน!J28"")"),0)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IFERROR(__xludf.DUMMYFUNCTION("IMPORTRANGE(""https://docs.google.com/spreadsheets/d/1QqKyyYR6Q21VydFLVH3TRQUabQu_ym0Zz7PgGX0-kHA/edit?usp=sharing"",""แผน!EU28"")"),650)</f>
        <v>650</v>
      </c>
      <c r="J374" s="459">
        <f ca="1">J381</f>
        <v>204</v>
      </c>
      <c r="K374" s="460">
        <f t="shared" ca="1" si="163"/>
        <v>31.384615384615383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IFERROR(__xludf.DUMMYFUNCTION("IMPORTRANGE(""https://docs.google.com/spreadsheets/d/1XWAQStnk-4SwqDmLtmXYiTMKHgktTP8We1SCoS47DrQ/edit?usp=sharing"",""จัดที่ดิน!AH28"")"),95)</f>
        <v>95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IFERROR(__xludf.DUMMYFUNCTION("IMPORTRANGE(""https://docs.google.com/spreadsheets/d/1QqKyyYR6Q21VydFLVH3TRQUabQu_ym0Zz7PgGX0-kHA/edit?usp=sharing"",""แผน!ET28"")"),1200)</f>
        <v>1200</v>
      </c>
      <c r="J378" s="270">
        <f ca="1">IFERROR(__xludf.DUMMYFUNCTION("IMPORTRANGE(""https://docs.google.com/spreadsheets/d/1XWAQStnk-4SwqDmLtmXYiTMKHgktTP8We1SCoS47DrQ/edit?usp=sharing"",""จัดที่ดิน!AI28"")"),738.61)</f>
        <v>738.61</v>
      </c>
      <c r="K378" s="466">
        <f t="shared" ca="1" si="164"/>
        <v>61.550833333333337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IFERROR(__xludf.DUMMYFUNCTION("IMPORTRANGE(""https://docs.google.com/spreadsheets/d/1QqKyyYR6Q21VydFLVH3TRQUabQu_ym0Zz7PgGX0-kHA/edit?usp=sharing"",""แผน!EU28"")"),650)</f>
        <v>650</v>
      </c>
      <c r="J379" s="270">
        <f ca="1">IFERROR(__xludf.DUMMYFUNCTION("IMPORTRANGE(""https://docs.google.com/spreadsheets/d/1XWAQStnk-4SwqDmLtmXYiTMKHgktTP8We1SCoS47DrQ/edit?usp=sharing"",""จัดที่ดิน!AJ28"")"),297)</f>
        <v>297</v>
      </c>
      <c r="K379" s="466">
        <f t="shared" ca="1" si="164"/>
        <v>45.692307692307693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IFERROR(__xludf.DUMMYFUNCTION("IMPORTRANGE(""https://docs.google.com/spreadsheets/d/1XWAQStnk-4SwqDmLtmXYiTMKHgktTP8We1SCoS47DrQ/edit?usp=sharing"",""จัดที่ดิน!AK28"")"),3305.22)</f>
        <v>3305.22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IFERROR(__xludf.DUMMYFUNCTION("IMPORTRANGE(""https://docs.google.com/spreadsheets/d/1QqKyyYR6Q21VydFLVH3TRQUabQu_ym0Zz7PgGX0-kHA/edit?usp=sharing"",""แผน!EU28"")"),650)</f>
        <v>650</v>
      </c>
      <c r="J381" s="270">
        <f ca="1">IFERROR(__xludf.DUMMYFUNCTION("IMPORTRANGE(""https://docs.google.com/spreadsheets/d/1XWAQStnk-4SwqDmLtmXYiTMKHgktTP8We1SCoS47DrQ/edit?usp=sharing"",""จัดที่ดิน!AL28"")"),204)</f>
        <v>204</v>
      </c>
      <c r="K381" s="466">
        <f t="shared" ca="1" si="164"/>
        <v>31.384615384615383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IFERROR(__xludf.DUMMYFUNCTION("IMPORTRANGE(""https://docs.google.com/spreadsheets/d/1XWAQStnk-4SwqDmLtmXYiTMKHgktTP8We1SCoS47DrQ/edit?usp=sharing"",""จัดที่ดิน!AM28"")"),2641.32)</f>
        <v>2641.32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IFERROR(__xludf.DUMMYFUNCTION("IMPORTRANGE(""https://docs.google.com/spreadsheets/d/1QqKyyYR6Q21VydFLVH3TRQUabQu_ym0Zz7PgGX0-kHA/edit?usp=sharing"",""แผน!EW28"")"),10)</f>
        <v>10</v>
      </c>
      <c r="J385" s="469">
        <f ca="1">IFERROR(__xludf.DUMMYFUNCTION("IMPORTRANGE(""https://docs.google.com/spreadsheets/d/1XWAQStnk-4SwqDmLtmXYiTMKHgktTP8We1SCoS47DrQ/edit?usp=sharing"",""จัดที่ดิน!AP28"")"),0)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4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IFERROR(__xludf.DUMMYFUNCTION("IMPORTRANGE(""https://docs.google.com/spreadsheets/d/1MeEWN-I1oV_STSDYn1IFDPWt_1FKiwhDph83XaGc0o0/edit?usp=sharing"",""งบพรบ!FG28"")"),0)</f>
        <v>0</v>
      </c>
      <c r="M394" s="93">
        <f ca="1">IFERROR(__xludf.DUMMYFUNCTION("IMPORTRANGE(""https://docs.google.com/spreadsheets/d/1MeEWN-I1oV_STSDYn1IFDPWt_1FKiwhDph83XaGc0o0/edit?usp=sharing"",""งบพรบ!FL28"")"),0)</f>
        <v>0</v>
      </c>
      <c r="N394" s="93">
        <f ca="1">IFERROR(__xludf.DUMMYFUNCTION("IMPORTRANGE(""https://docs.google.com/spreadsheets/d/1MeEWN-I1oV_STSDYn1IFDPWt_1FKiwhDph83XaGc0o0/edit?usp=sharing"",""งบพรบ!FN28"")"),0)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IFERROR(__xludf.DUMMYFUNCTION("IMPORTRANGE(""https://docs.google.com/spreadsheets/d/1MeEWN-I1oV_STSDYn1IFDPWt_1FKiwhDph83XaGc0o0/edit?usp=sharing"",""งบพรบ!FJ28"")"),0)</f>
        <v>0</v>
      </c>
      <c r="M397" s="93">
        <f ca="1">IFERROR(__xludf.DUMMYFUNCTION("IMPORTRANGE(""https://docs.google.com/spreadsheets/d/1MeEWN-I1oV_STSDYn1IFDPWt_1FKiwhDph83XaGc0o0/edit?usp=sharing"",""งบพรบ!FM28"")"),0)</f>
        <v>0</v>
      </c>
      <c r="N397" s="93">
        <f ca="1">IFERROR(__xludf.DUMMYFUNCTION("IMPORTRANGE(""https://docs.google.com/spreadsheets/d/1MeEWN-I1oV_STSDYn1IFDPWt_1FKiwhDph83XaGc0o0/edit?usp=sharing"",""งบพรบ!FO28"")"),0)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4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IFERROR(__xludf.DUMMYFUNCTION("IMPORTRANGE(""https://docs.google.com/spreadsheets/d/1MeEWN-I1oV_STSDYn1IFDPWt_1FKiwhDph83XaGc0o0/edit?usp=sharing"",""งบพรบ!FQ28"")"),0)</f>
        <v>0</v>
      </c>
      <c r="M407" s="93">
        <f ca="1">IFERROR(__xludf.DUMMYFUNCTION("IMPORTRANGE(""https://docs.google.com/spreadsheets/d/1MeEWN-I1oV_STSDYn1IFDPWt_1FKiwhDph83XaGc0o0/edit?usp=sharing"",""งบพรบ!FV28"")"),0)</f>
        <v>0</v>
      </c>
      <c r="N407" s="93">
        <f ca="1">IFERROR(__xludf.DUMMYFUNCTION("IMPORTRANGE(""https://docs.google.com/spreadsheets/d/1MeEWN-I1oV_STSDYn1IFDPWt_1FKiwhDph83XaGc0o0/edit?usp=sharing"",""งบพรบ!FX28"")"),0)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IFERROR(__xludf.DUMMYFUNCTION("IMPORTRANGE(""https://docs.google.com/spreadsheets/d/1MeEWN-I1oV_STSDYn1IFDPWt_1FKiwhDph83XaGc0o0/edit?usp=sharing"",""งบพรบ!FT28"")"),0)</f>
        <v>0</v>
      </c>
      <c r="M410" s="93">
        <f ca="1">IFERROR(__xludf.DUMMYFUNCTION("IMPORTRANGE(""https://docs.google.com/spreadsheets/d/1MeEWN-I1oV_STSDYn1IFDPWt_1FKiwhDph83XaGc0o0/edit?usp=sharing"",""งบพรบ!FW28"")"),0)</f>
        <v>0</v>
      </c>
      <c r="N410" s="93">
        <f ca="1">IFERROR(__xludf.DUMMYFUNCTION("IMPORTRANGE(""https://docs.google.com/spreadsheets/d/1MeEWN-I1oV_STSDYn1IFDPWt_1FKiwhDph83XaGc0o0/edit?usp=sharing"",""งบพรบ!FY28"")"),0)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2120493</v>
      </c>
      <c r="M414" s="517">
        <f t="shared" si="181"/>
        <v>0</v>
      </c>
      <c r="N414" s="517">
        <f t="shared" si="181"/>
        <v>371314.18</v>
      </c>
      <c r="O414" s="517">
        <f ca="1">IF(L414&gt;0,N414*100/L414,0)</f>
        <v>17.510747736493354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65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2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226960</v>
      </c>
      <c r="M419" s="155">
        <f t="shared" si="184"/>
        <v>0</v>
      </c>
      <c r="N419" s="155">
        <f t="shared" si="184"/>
        <v>136460</v>
      </c>
      <c r="O419" s="155">
        <f t="shared" ref="O419:O424" ca="1" si="185">IF(L419&gt;0,N419*100/L419,0)</f>
        <v>60.125132181882272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226960</v>
      </c>
      <c r="M421" s="93">
        <f t="shared" si="187"/>
        <v>0</v>
      </c>
      <c r="N421" s="93">
        <f t="shared" si="187"/>
        <v>136460</v>
      </c>
      <c r="O421" s="93">
        <f t="shared" ca="1" si="185"/>
        <v>60.125132181882272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8">L423+L424</f>
        <v>226960</v>
      </c>
      <c r="M422" s="466">
        <f t="shared" si="188"/>
        <v>0</v>
      </c>
      <c r="N422" s="466">
        <f t="shared" si="188"/>
        <v>136460</v>
      </c>
      <c r="O422" s="466">
        <f t="shared" ca="1" si="185"/>
        <v>60.125132181882272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IFERROR(__xludf.DUMMYFUNCTION("IMPORTRANGE(""https://docs.google.com/spreadsheets/d/1QqKyyYR6Q21VydFLVH3TRQUabQu_ym0Zz7PgGX0-kHA/edit?usp=sharing"",""แผน!EY28"")"),226960)</f>
        <v>226960</v>
      </c>
      <c r="M424" s="93">
        <v>0</v>
      </c>
      <c r="N424" s="93">
        <f>N425+N426+N427+N428</f>
        <v>136460</v>
      </c>
      <c r="O424" s="93">
        <f t="shared" ca="1" si="185"/>
        <v>60.125132181882272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v>102600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v>33860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65</v>
      </c>
      <c r="J433" s="648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t="shared" ref="I434:J434" ca="1" si="193">I438+I440</f>
        <v>2</v>
      </c>
      <c r="J434" s="648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IFERROR(__xludf.DUMMYFUNCTION("IMPORTRANGE(""https://docs.google.com/spreadsheets/d/1QqKyyYR6Q21VydFLVH3TRQUabQu_ym0Zz7PgGX0-kHA/edit?usp=sharing"",""แผน!FC28"")"),65)</f>
        <v>65</v>
      </c>
      <c r="J435" s="549">
        <v>0</v>
      </c>
      <c r="K435" s="466">
        <f t="shared" ca="1" si="192"/>
        <v>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IFERROR(__xludf.DUMMYFUNCTION("IMPORTRANGE(""https://docs.google.com/spreadsheets/d/1QqKyyYR6Q21VydFLVH3TRQUabQu_ym0Zz7PgGX0-kHA/edit?usp=sharing"",""แผน!FD28"")"),50)</f>
        <v>50</v>
      </c>
      <c r="J437" s="549">
        <v>22</v>
      </c>
      <c r="K437" s="466">
        <f t="shared" ref="K437:K443" ca="1" si="194">IF(I437&gt;0,J437*100/I437,0)</f>
        <v>44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IFERROR(__xludf.DUMMYFUNCTION("IMPORTRANGE(""https://docs.google.com/spreadsheets/d/1QqKyyYR6Q21VydFLVH3TRQUabQu_ym0Zz7PgGX0-kHA/edit?usp=sharing"",""แผน!FE28"")"),1)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IFERROR(__xludf.DUMMYFUNCTION("IMPORTRANGE(""https://docs.google.com/spreadsheets/d/1QqKyyYR6Q21VydFLVH3TRQUabQu_ym0Zz7PgGX0-kHA/edit?usp=sharing"",""แผน!FF28"")"),15)</f>
        <v>15</v>
      </c>
      <c r="J439" s="549">
        <v>15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IFERROR(__xludf.DUMMYFUNCTION("IMPORTRANGE(""https://docs.google.com/spreadsheets/d/1QqKyyYR6Q21VydFLVH3TRQUabQu_ym0Zz7PgGX0-kHA/edit?usp=sharing"",""แผน!FG28"")"),1)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IFERROR(__xludf.DUMMYFUNCTION("IMPORTRANGE(""https://docs.google.com/spreadsheets/d/1QqKyyYR6Q21VydFLVH3TRQUabQu_ym0Zz7PgGX0-kHA/edit?usp=sharing"",""แผน!FH28"")"),0)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115</v>
      </c>
      <c r="J442" s="555">
        <f t="shared" si="195"/>
        <v>115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360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757044</v>
      </c>
      <c r="M444" s="195">
        <f t="shared" si="197"/>
        <v>0</v>
      </c>
      <c r="N444" s="195">
        <f t="shared" si="197"/>
        <v>158934.64000000001</v>
      </c>
      <c r="O444" s="195">
        <f t="shared" ref="O444:O449" ca="1" si="198">IF(L444&gt;0,N444*100/L444,0)</f>
        <v>20.994108664753966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0"/>
        <v>757044</v>
      </c>
      <c r="M446" s="93">
        <f t="shared" si="200"/>
        <v>0</v>
      </c>
      <c r="N446" s="93">
        <f t="shared" si="200"/>
        <v>158934.64000000001</v>
      </c>
      <c r="O446" s="93">
        <f t="shared" ca="1" si="198"/>
        <v>20.994108664753966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1">L448+L449</f>
        <v>757044</v>
      </c>
      <c r="M447" s="466">
        <f t="shared" si="201"/>
        <v>0</v>
      </c>
      <c r="N447" s="466">
        <f t="shared" si="201"/>
        <v>158934.64000000001</v>
      </c>
      <c r="O447" s="466">
        <f t="shared" ca="1" si="198"/>
        <v>20.994108664753966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IFERROR(__xludf.DUMMYFUNCTION("IMPORTRANGE(""https://docs.google.com/spreadsheets/d/1QqKyyYR6Q21VydFLVH3TRQUabQu_ym0Zz7PgGX0-kHA/edit?usp=sharing"",""แผน!FJ28"")"),757044)</f>
        <v>757044</v>
      </c>
      <c r="M449" s="93">
        <v>0</v>
      </c>
      <c r="N449" s="93">
        <f>N450+N451+N452+N453</f>
        <v>158934.64000000001</v>
      </c>
      <c r="O449" s="93">
        <f t="shared" ca="1" si="198"/>
        <v>20.994108664753966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v>109070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v>25580.639999999999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v>24284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IFERROR(__xludf.DUMMYFUNCTION("IMPORTRANGE(""https://docs.google.com/spreadsheets/d/1QqKyyYR6Q21VydFLVH3TRQUabQu_ym0Zz7PgGX0-kHA/edit?usp=sharing"",""แผน!FN28"")"),115)</f>
        <v>115</v>
      </c>
      <c r="J460" s="215">
        <v>115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IFERROR(__xludf.DUMMYFUNCTION("IMPORTRANGE(""https://docs.google.com/spreadsheets/d/1QqKyyYR6Q21VydFLVH3TRQUabQu_ym0Zz7PgGX0-kHA/edit?usp=sharing"",""แผน!FO28"")"),360)</f>
        <v>360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IFERROR(__xludf.DUMMYFUNCTION("IMPORTRANGE(""https://docs.google.com/spreadsheets/d/1QqKyyYR6Q21VydFLVH3TRQUabQu_ym0Zz7PgGX0-kHA/edit?usp=sharing"",""แผน!FO28"")"),360)</f>
        <v>360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IFERROR(__xludf.DUMMYFUNCTION("IMPORTRANGE(""https://docs.google.com/spreadsheets/d/1QqKyyYR6Q21VydFLVH3TRQUabQu_ym0Zz7PgGX0-kHA/edit?usp=sharing"",""แผน!FN28"")"),115)</f>
        <v>115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IFERROR(__xludf.DUMMYFUNCTION("IMPORTRANGE(""https://docs.google.com/spreadsheets/d/1QqKyyYR6Q21VydFLVH3TRQUabQu_ym0Zz7PgGX0-kHA/edit?usp=sharing"",""แผน!FX28"")"),31)</f>
        <v>31</v>
      </c>
      <c r="J465" s="555">
        <f>J485+J489+J492</f>
        <v>31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IFERROR(__xludf.DUMMYFUNCTION("IMPORTRANGE(""https://docs.google.com/spreadsheets/d/1QqKyyYR6Q21VydFLVH3TRQUabQu_ym0Zz7PgGX0-kHA/edit?usp=sharing"",""แผน!FW28"")"),300)</f>
        <v>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257423</v>
      </c>
      <c r="M467" s="195">
        <f t="shared" si="206"/>
        <v>0</v>
      </c>
      <c r="N467" s="195">
        <f t="shared" si="206"/>
        <v>12050</v>
      </c>
      <c r="O467" s="195">
        <f t="shared" ref="O467:O472" ca="1" si="207">IF(L467&gt;0,N467*100/L467,0)</f>
        <v>4.6810114092369366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09"/>
        <v>257423</v>
      </c>
      <c r="M469" s="93">
        <f t="shared" si="209"/>
        <v>0</v>
      </c>
      <c r="N469" s="93">
        <f t="shared" si="209"/>
        <v>12050</v>
      </c>
      <c r="O469" s="93">
        <f t="shared" ca="1" si="207"/>
        <v>4.6810114092369366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0">L471+L472</f>
        <v>257423</v>
      </c>
      <c r="M470" s="466">
        <f t="shared" si="210"/>
        <v>0</v>
      </c>
      <c r="N470" s="466">
        <f t="shared" si="210"/>
        <v>12050</v>
      </c>
      <c r="O470" s="466">
        <f t="shared" ca="1" si="207"/>
        <v>4.6810114092369366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IFERROR(__xludf.DUMMYFUNCTION("IMPORTRANGE(""https://docs.google.com/spreadsheets/d/1QqKyyYR6Q21VydFLVH3TRQUabQu_ym0Zz7PgGX0-kHA/edit?usp=sharing"",""แผน!FS28"")"),257423)</f>
        <v>257423</v>
      </c>
      <c r="M472" s="93">
        <v>0</v>
      </c>
      <c r="N472" s="93">
        <f>N473+N474+N475+N476</f>
        <v>12050</v>
      </c>
      <c r="O472" s="93">
        <f t="shared" ca="1" si="207"/>
        <v>4.6810114092369366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>
        <v>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v>12050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IFERROR(__xludf.DUMMYFUNCTION("IMPORTRANGE(""https://docs.google.com/spreadsheets/d/1QqKyyYR6Q21VydFLVH3TRQUabQu_ym0Zz7PgGX0-kHA/edit?usp=sharing"",""แผน!FY28"")"),270)</f>
        <v>270</v>
      </c>
      <c r="J483" s="215">
        <v>0</v>
      </c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IFERROR(__xludf.DUMMYFUNCTION("IMPORTRANGE(""https://docs.google.com/spreadsheets/d/1QqKyyYR6Q21VydFLVH3TRQUabQu_ym0Zz7PgGX0-kHA/edit?usp=sharing"",""แผน!FZ28"")"),27)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IFERROR(__xludf.DUMMYFUNCTION("IMPORTRANGE(""https://docs.google.com/spreadsheets/d/1QqKyyYR6Q21VydFLVH3TRQUabQu_ym0Zz7PgGX0-kHA/edit?usp=sharing"",""แผน!GA28"")"),30)</f>
        <v>30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IFERROR(__xludf.DUMMYFUNCTION("IMPORTRANGE(""https://docs.google.com/spreadsheets/d/1QqKyyYR6Q21VydFLVH3TRQUabQu_ym0Zz7PgGX0-kHA/edit?usp=sharing"",""แผน!GB28"")"),3)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IFERROR(__xludf.DUMMYFUNCTION("IMPORTRANGE(""https://docs.google.com/spreadsheets/d/1QqKyyYR6Q21VydFLVH3TRQUabQu_ym0Zz7PgGX0-kHA/edit?usp=sharing"",""แผน!GC28"")"),1)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IFERROR(__xludf.DUMMYFUNCTION("IMPORTRANGE(""https://docs.google.com/spreadsheets/d/1QqKyyYR6Q21VydFLVH3TRQUabQu_ym0Zz7PgGX0-kHA/edit?usp=sharing"",""แผน!FY28"")"),270)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IFERROR(__xludf.DUMMYFUNCTION("IMPORTRANGE(""https://docs.google.com/spreadsheets/d/1QqKyyYR6Q21VydFLVH3TRQUabQu_ym0Zz7PgGX0-kHA/edit?usp=sharing"",""แผน!GA28"")"),30)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6">L503+L504</f>
        <v>0</v>
      </c>
      <c r="M502" s="614">
        <f t="shared" si="216"/>
        <v>0</v>
      </c>
      <c r="N502" s="614">
        <f t="shared" si="216"/>
        <v>0</v>
      </c>
      <c r="O502" s="614">
        <f t="shared" ref="O502:O507" si="217">IF(L502&gt;0,N502*100/L502,0)</f>
        <v>0</v>
      </c>
      <c r="P502" s="614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6"/>
      <c r="D505" s="853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853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 hidden="1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5">I537</f>
        <v>0</v>
      </c>
      <c r="J522" s="675">
        <f t="shared" ca="1" si="225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IFERROR(__xludf.DUMMYFUNCTION("IMPORTRANGE(""https://docs.google.com/spreadsheets/d/1QqKyyYR6Q21VydFLVH3TRQUabQu_ym0Zz7PgGX0-kHA/edit?usp=sharing"",""แผน!GU28"")"),0)</f>
        <v>0</v>
      </c>
      <c r="J537" s="648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 hidden="1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IFERROR(__xludf.DUMMYFUNCTION("IMPORTRANGE(""https://docs.google.com/spreadsheets/d/1QqKyyYR6Q21VydFLVH3TRQUabQu_ym0Zz7PgGX0-kHA/edit?usp=sharing"",""แผน!GV28"")"),0)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 hidden="1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IFERROR(__xludf.DUMMYFUNCTION("IMPORTRANGE(""https://docs.google.com/spreadsheets/d/1QqKyyYR6Q21VydFLVH3TRQUabQu_ym0Zz7PgGX0-kHA/edit?usp=sharing"",""แผน!GW28"")"),0)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 hidden="1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IFERROR(__xludf.DUMMYFUNCTION("IMPORTRANGE(""https://docs.google.com/spreadsheets/d/1QqKyyYR6Q21VydFLVH3TRQUabQu_ym0Zz7PgGX0-kHA/edit?usp=sharing"",""แผน!GX28"")"),0)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 hidden="1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IFERROR(__xludf.DUMMYFUNCTION("IMPORTRANGE(""https://docs.google.com/spreadsheets/d/1QqKyyYR6Q21VydFLVH3TRQUabQu_ym0Zz7PgGX0-kHA/edit?usp=sharing"",""แผน!GY28"")"),0)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 hidden="1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IFERROR(__xludf.DUMMYFUNCTION("IMPORTRANGE(""https://docs.google.com/spreadsheets/d/1QqKyyYR6Q21VydFLVH3TRQUabQu_ym0Zz7PgGX0-kHA/edit?usp=sharing"",""แผน!GZ28"")"),0)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5">I559</f>
        <v>45451</v>
      </c>
      <c r="J543" s="654">
        <f t="shared" si="235"/>
        <v>0</v>
      </c>
      <c r="K543" s="655">
        <f t="shared" ca="1" si="234"/>
        <v>0</v>
      </c>
      <c r="L543" s="637"/>
      <c r="M543" s="637"/>
      <c r="N543" s="637"/>
      <c r="O543" s="637"/>
      <c r="P543" s="637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6">L545+L546</f>
        <v>478301</v>
      </c>
      <c r="M544" s="155">
        <f t="shared" si="236"/>
        <v>0</v>
      </c>
      <c r="N544" s="155">
        <f t="shared" si="236"/>
        <v>37869.54</v>
      </c>
      <c r="O544" s="155">
        <f t="shared" ref="O544:O549" ca="1" si="237">IF(L544&gt;0,N544*100/L544,0)</f>
        <v>7.9175121942040683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39"/>
        <v>478301</v>
      </c>
      <c r="M546" s="93">
        <f t="shared" si="240"/>
        <v>0</v>
      </c>
      <c r="N546" s="93">
        <f t="shared" si="240"/>
        <v>37869.54</v>
      </c>
      <c r="O546" s="93">
        <f t="shared" ca="1" si="237"/>
        <v>7.9175121942040683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1">L548+L549</f>
        <v>478301</v>
      </c>
      <c r="M547" s="466">
        <f t="shared" si="241"/>
        <v>0</v>
      </c>
      <c r="N547" s="466">
        <f t="shared" si="241"/>
        <v>37869.54</v>
      </c>
      <c r="O547" s="466">
        <f t="shared" ca="1" si="237"/>
        <v>7.9175121942040683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IFERROR(__xludf.DUMMYFUNCTION("IMPORTRANGE(""https://docs.google.com/spreadsheets/d/1QqKyyYR6Q21VydFLVH3TRQUabQu_ym0Zz7PgGX0-kHA/edit?usp=sharing"",""แผน!HB28"")"),478301)</f>
        <v>478301</v>
      </c>
      <c r="M549" s="93">
        <v>0</v>
      </c>
      <c r="N549" s="93">
        <f>N550+N551+N552+N553+N554</f>
        <v>37869.54</v>
      </c>
      <c r="O549" s="93">
        <f t="shared" ca="1" si="237"/>
        <v>7.9175121942040683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801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801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801">
        <v>26000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801">
        <v>11869.54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5">I576</f>
        <v>45451</v>
      </c>
      <c r="J559" s="675">
        <f t="shared" si="245"/>
        <v>0</v>
      </c>
      <c r="K559" s="644">
        <f t="shared" ref="K559:K561" ca="1" si="246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9"/>
      <c r="H560" s="734" t="s">
        <v>46</v>
      </c>
      <c r="I560" s="193">
        <f ca="1">IFERROR(__xludf.DUMMYFUNCTION("IMPORTRANGE(""https://docs.google.com/spreadsheets/d/1QqKyyYR6Q21VydFLVH3TRQUabQu_ym0Zz7PgGX0-kHA/edit?usp=sharing"",""แผน!HH28"")"),45451)</f>
        <v>45451</v>
      </c>
      <c r="J560" s="193">
        <f t="shared" ref="J560:J561" si="247">J562+J564+J566</f>
        <v>5460</v>
      </c>
      <c r="K560" s="380">
        <f t="shared" ca="1" si="246"/>
        <v>12.012937009086709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9"/>
      <c r="H561" s="734" t="s">
        <v>34</v>
      </c>
      <c r="I561" s="193">
        <f ca="1">IFERROR(__xludf.DUMMYFUNCTION("IMPORTRANGE(""https://docs.google.com/spreadsheets/d/1QqKyyYR6Q21VydFLVH3TRQUabQu_ym0Zz7PgGX0-kHA/edit?usp=sharing"",""แผน!HG28"")"),5250)</f>
        <v>5250</v>
      </c>
      <c r="J561" s="193">
        <f t="shared" si="247"/>
        <v>532</v>
      </c>
      <c r="K561" s="380">
        <f t="shared" ca="1" si="246"/>
        <v>10.133333333333333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v>3427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v>363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v>1887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v>156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v>146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v>13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9"/>
      <c r="H568" s="734" t="s">
        <v>46</v>
      </c>
      <c r="I568" s="193">
        <f ca="1">IFERROR(__xludf.DUMMYFUNCTION("IMPORTRANGE(""https://docs.google.com/spreadsheets/d/1QqKyyYR6Q21VydFLVH3TRQUabQu_ym0Zz7PgGX0-kHA/edit?usp=sharing"",""แผน!HH28"")"),45451)</f>
        <v>45451</v>
      </c>
      <c r="J568" s="648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9"/>
      <c r="H569" s="734" t="s">
        <v>34</v>
      </c>
      <c r="I569" s="193">
        <f ca="1">IFERROR(__xludf.DUMMYFUNCTION("IMPORTRANGE(""https://docs.google.com/spreadsheets/d/1QqKyyYR6Q21VydFLVH3TRQUabQu_ym0Zz7PgGX0-kHA/edit?usp=sharing"",""แผน!HG28"")"),5250)</f>
        <v>5250</v>
      </c>
      <c r="J569" s="648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9"/>
      <c r="H576" s="734" t="s">
        <v>46</v>
      </c>
      <c r="I576" s="193">
        <f ca="1">IFERROR(__xludf.DUMMYFUNCTION("IMPORTRANGE(""https://docs.google.com/spreadsheets/d/1QqKyyYR6Q21VydFLVH3TRQUabQu_ym0Zz7PgGX0-kHA/edit?usp=sharing"",""แผน!HH28"")"),45451)</f>
        <v>45451</v>
      </c>
      <c r="J576" s="648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9"/>
      <c r="H577" s="734" t="s">
        <v>34</v>
      </c>
      <c r="I577" s="193">
        <f ca="1">IFERROR(__xludf.DUMMYFUNCTION("IMPORTRANGE(""https://docs.google.com/spreadsheets/d/1QqKyyYR6Q21VydFLVH3TRQUabQu_ym0Zz7PgGX0-kHA/edit?usp=sharing"",""แผน!HG28"")"),5250)</f>
        <v>5250</v>
      </c>
      <c r="J577" s="648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3">I593</f>
        <v>4307.33</v>
      </c>
      <c r="J592" s="675">
        <f t="shared" si="253"/>
        <v>1726</v>
      </c>
      <c r="K592" s="644">
        <f t="shared" ref="K592:K594" ca="1" si="254">IF(I592&gt;0,J592*100/I592,0)</f>
        <v>40.071227419306162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IFERROR(__xludf.DUMMYFUNCTION("IMPORTRANGE(""https://docs.google.com/spreadsheets/d/1QqKyyYR6Q21VydFLVH3TRQUabQu_ym0Zz7PgGX0-kHA/edit?usp=sharing"",""แผน!HJ28"")"),4307.33)</f>
        <v>4307.33</v>
      </c>
      <c r="J593" s="193">
        <f t="shared" ref="J593:J594" si="255">J595+J603+J609</f>
        <v>1726</v>
      </c>
      <c r="K593" s="380">
        <f t="shared" ca="1" si="254"/>
        <v>40.071227419306162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IFERROR(__xludf.DUMMYFUNCTION("IMPORTRANGE(""https://docs.google.com/spreadsheets/d/1QqKyyYR6Q21VydFLVH3TRQUabQu_ym0Zz7PgGX0-kHA/edit?usp=sharing"",""แผน!HI28"")"),452)</f>
        <v>452</v>
      </c>
      <c r="J594" s="193">
        <f t="shared" si="255"/>
        <v>135</v>
      </c>
      <c r="K594" s="380">
        <f t="shared" ca="1" si="254"/>
        <v>29.86725663716814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6">J597+J599</f>
        <v>1627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6"/>
        <v>122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215">
        <v>1627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122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7">J605+J607</f>
        <v>99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7"/>
        <v>13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99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13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8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59">J614+J616</f>
        <v>0</v>
      </c>
      <c r="K612" s="684">
        <f t="shared" si="258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59"/>
        <v>0</v>
      </c>
      <c r="K613" s="684">
        <f t="shared" si="258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IFERROR(__xludf.DUMMYFUNCTION("IMPORTRANGE(""https://docs.google.com/spreadsheets/d/1QqKyyYR6Q21VydFLVH3TRQUabQu_ym0Zz7PgGX0-kHA/edit?usp=sharing"",""แผน!HL28"")"),51)</f>
        <v>51</v>
      </c>
      <c r="J620" s="695">
        <f t="shared" ref="J620:J621" si="260">J622+J624+J626</f>
        <v>0</v>
      </c>
      <c r="K620" s="696">
        <f t="shared" ref="K620:K621" ca="1" si="261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IFERROR(__xludf.DUMMYFUNCTION("IMPORTRANGE(""https://docs.google.com/spreadsheets/d/1QqKyyYR6Q21VydFLVH3TRQUabQu_ym0Zz7PgGX0-kHA/edit?usp=sharing"",""แผน!HK28"")"),3)</f>
        <v>3</v>
      </c>
      <c r="J621" s="695">
        <f t="shared" si="260"/>
        <v>0</v>
      </c>
      <c r="K621" s="696">
        <f t="shared" ca="1" si="261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262">I651</f>
        <v>155</v>
      </c>
      <c r="J628" s="708">
        <f t="shared" ca="1" si="262"/>
        <v>0</v>
      </c>
      <c r="K628" s="709">
        <f ca="1">IF(I628&gt;0,J628*100/I628,0)</f>
        <v>0</v>
      </c>
      <c r="L628" s="710"/>
      <c r="M628" s="710"/>
      <c r="N628" s="710"/>
      <c r="O628" s="710"/>
      <c r="P628" s="710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385305</v>
      </c>
      <c r="M629" s="195">
        <f t="shared" si="263"/>
        <v>0</v>
      </c>
      <c r="N629" s="195">
        <f t="shared" si="263"/>
        <v>26000</v>
      </c>
      <c r="O629" s="195">
        <f t="shared" ref="O629:O634" ca="1" si="264">IF(L629&gt;0,N629*100/L629,0)</f>
        <v>6.7479010134828252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6"/>
        <v>385305</v>
      </c>
      <c r="M631" s="93">
        <f t="shared" si="266"/>
        <v>0</v>
      </c>
      <c r="N631" s="93">
        <f t="shared" si="266"/>
        <v>26000</v>
      </c>
      <c r="O631" s="93">
        <f t="shared" ca="1" si="264"/>
        <v>6.7479010134828252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7">L633+L634</f>
        <v>385305</v>
      </c>
      <c r="M632" s="466">
        <f t="shared" si="267"/>
        <v>0</v>
      </c>
      <c r="N632" s="466">
        <f t="shared" si="267"/>
        <v>26000</v>
      </c>
      <c r="O632" s="466">
        <f t="shared" ca="1" si="264"/>
        <v>6.7479010134828252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IFERROR(__xludf.DUMMYFUNCTION("IMPORTRANGE(""https://docs.google.com/spreadsheets/d/1QqKyyYR6Q21VydFLVH3TRQUabQu_ym0Zz7PgGX0-kHA/edit?usp=sharing"",""แผน!HN28"")"),385305)</f>
        <v>385305</v>
      </c>
      <c r="M634" s="93">
        <v>0</v>
      </c>
      <c r="N634" s="93">
        <f>N635+N636+N637+N638</f>
        <v>26000</v>
      </c>
      <c r="O634" s="93">
        <f t="shared" ca="1" si="264"/>
        <v>6.7479010134828252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26000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v>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IFERROR(__xludf.DUMMYFUNCTION("IMPORTRANGE(""https://docs.google.com/spreadsheets/d/1QqKyyYR6Q21VydFLVH3TRQUabQu_ym0Zz7PgGX0-kHA/edit?usp=sharing"",""แผน!HR28"")"),0)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IFERROR(__xludf.DUMMYFUNCTION("IMPORTRANGE(""https://docs.google.com/spreadsheets/d/1QqKyyYR6Q21VydFLVH3TRQUabQu_ym0Zz7PgGX0-kHA/edit?usp=sharing"",""แผน!HR28"")"),0)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IFERROR(__xludf.DUMMYFUNCTION("IMPORTRANGE(""https://docs.google.com/spreadsheets/d/1XWAQStnk-4SwqDmLtmXYiTMKHgktTP8We1SCoS47DrQ/edit?usp=sharing"",""จัดที่ดิน!AS28"")"),57)</f>
        <v>57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IFERROR(__xludf.DUMMYFUNCTION("IMPORTRANGE(""https://docs.google.com/spreadsheets/d/1XWAQStnk-4SwqDmLtmXYiTMKHgktTP8We1SCoS47DrQ/edit?usp=sharing"",""จัดที่ดิน!AT28"")"),46.55)</f>
        <v>46.55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IFERROR(__xludf.DUMMYFUNCTION("IMPORTRANGE(""https://docs.google.com/spreadsheets/d/1QqKyyYR6Q21VydFLVH3TRQUabQu_ym0Zz7PgGX0-kHA/edit?usp=sharing"",""แผน!HS28"")"),155)</f>
        <v>155</v>
      </c>
      <c r="J647" s="270">
        <f ca="1">IFERROR(__xludf.DUMMYFUNCTION("IMPORTRANGE(""https://docs.google.com/spreadsheets/d/1XWAQStnk-4SwqDmLtmXYiTMKHgktTP8We1SCoS47DrQ/edit?usp=sharing"",""จัดที่ดิน!AU28"")"),15)</f>
        <v>15</v>
      </c>
      <c r="K647" s="163">
        <f t="shared" ca="1" si="271"/>
        <v>9.67741935483871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IFERROR(__xludf.DUMMYFUNCTION("IMPORTRANGE(""https://docs.google.com/spreadsheets/d/1XWAQStnk-4SwqDmLtmXYiTMKHgktTP8We1SCoS47DrQ/edit?usp=sharing"",""จัดที่ดิน!AV28"")"),7.45)</f>
        <v>7.45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IFERROR(__xludf.DUMMYFUNCTION("IMPORTRANGE(""https://docs.google.com/spreadsheets/d/1QqKyyYR6Q21VydFLVH3TRQUabQu_ym0Zz7PgGX0-kHA/edit?usp=sharing"",""แผน!HS28"")"),155)</f>
        <v>155</v>
      </c>
      <c r="J649" s="270">
        <f ca="1">IFERROR(__xludf.DUMMYFUNCTION("IMPORTRANGE(""https://docs.google.com/spreadsheets/d/1XWAQStnk-4SwqDmLtmXYiTMKHgktTP8We1SCoS47DrQ/edit?usp=sharing"",""จัดที่ดิน!AW28"")"),0)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IFERROR(__xludf.DUMMYFUNCTION("IMPORTRANGE(""https://docs.google.com/spreadsheets/d/1XWAQStnk-4SwqDmLtmXYiTMKHgktTP8We1SCoS47DrQ/edit?usp=sharing"",""จัดที่ดิน!AX28"")"),0)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IFERROR(__xludf.DUMMYFUNCTION("IMPORTRANGE(""https://docs.google.com/spreadsheets/d/1QqKyyYR6Q21VydFLVH3TRQUabQu_ym0Zz7PgGX0-kHA/edit?usp=sharing"",""แผน!HS28"")"),155)</f>
        <v>155</v>
      </c>
      <c r="J651" s="270">
        <f ca="1">IFERROR(__xludf.DUMMYFUNCTION("IMPORTRANGE(""https://docs.google.com/spreadsheets/d/1XWAQStnk-4SwqDmLtmXYiTMKHgktTP8We1SCoS47DrQ/edit?usp=sharing"",""จัดที่ดิน!AY28"")"),0)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IFERROR(__xludf.DUMMYFUNCTION("IMPORTRANGE(""https://docs.google.com/spreadsheets/d/1XWAQStnk-4SwqDmLtmXYiTMKHgktTP8We1SCoS47DrQ/edit?usp=sharing"",""จัดที่ดิน!AZ28"")"),0)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2">I669</f>
        <v>100</v>
      </c>
      <c r="J654" s="675">
        <f t="shared" si="27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12400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6"/>
        <v>12400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7">L659+L660</f>
        <v>12400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IFERROR(__xludf.DUMMYFUNCTION("IMPORTRANGE(""https://docs.google.com/spreadsheets/d/1QqKyyYR6Q21VydFLVH3TRQUabQu_ym0Zz7PgGX0-kHA/edit?usp=sharing"",""แผน!HV28"")"),12400)</f>
        <v>12400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IFERROR(__xludf.DUMMYFUNCTION("IMPORTRANGE(""https://docs.google.com/spreadsheets/d/1QqKyyYR6Q21VydFLVH3TRQUabQu_ym0Zz7PgGX0-kHA/edit?usp=sharing"",""แผน!IA28"")"),100)</f>
        <v>100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IFERROR(__xludf.DUMMYFUNCTION("IMPORTRANGE(""https://docs.google.com/spreadsheets/d/1QqKyyYR6Q21VydFLVH3TRQUabQu_ym0Zz7PgGX0-kHA/edit?usp=sharing"",""แผน!HZ28"")"),4)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IFERROR(__xludf.DUMMYFUNCTION("IMPORTRANGE(""https://docs.google.com/spreadsheets/d/1QqKyyYR6Q21VydFLVH3TRQUabQu_ym0Zz7PgGX0-kHA/edit?usp=sharing"",""แผน!HZ28"")"),4)</f>
        <v>4</v>
      </c>
      <c r="J671" s="215">
        <v>7</v>
      </c>
      <c r="K671" s="466">
        <f ca="1">IF(I$671&gt;0,J671*100/I$671,0)</f>
        <v>175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IFERROR(__xludf.DUMMYFUNCTION("IMPORTRANGE(""https://docs.google.com/spreadsheets/d/1QqKyyYR6Q21VydFLVH3TRQUabQu_ym0Zz7PgGX0-kHA/edit?usp=sharing"",""แผน!IB28"")"),0)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3060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5"/>
        <v>3060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6">L689+L690</f>
        <v>3060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IFERROR(__xludf.DUMMYFUNCTION("IMPORTRANGE(""https://docs.google.com/spreadsheets/d/1QqKyyYR6Q21VydFLVH3TRQUabQu_ym0Zz7PgGX0-kHA/edit?usp=sharing"",""แผน!HW28"")"),3060)</f>
        <v>3060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IFERROR(__xludf.DUMMYFUNCTION("IMPORTRANGE(""https://docs.google.com/spreadsheets/d/1QqKyyYR6Q21VydFLVH3TRQUabQu_ym0Zz7PgGX0-kHA/edit?usp=sharing"",""แผน!IC28"")"),0)</f>
        <v>0</v>
      </c>
      <c r="J699" s="270">
        <f ca="1">IFERROR(__xludf.DUMMYFUNCTION("IMPORTRANGE(""https://docs.google.com/spreadsheets/d/1XWAQStnk-4SwqDmLtmXYiTMKHgktTP8We1SCoS47DrQ/edit?usp=sharing"",""จัดที่ดิน!BB28"")"),0)</f>
        <v>0</v>
      </c>
      <c r="K699" s="466">
        <f t="shared" ref="K699:K701" ca="1" si="290">IF(I699&gt;0,J699*100/I699,0)</f>
        <v>0</v>
      </c>
      <c r="L699" s="466"/>
      <c r="M699" s="189"/>
      <c r="N699" s="733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IFERROR(__xludf.DUMMYFUNCTION("IMPORTRANGE(""https://docs.google.com/spreadsheets/d/1QqKyyYR6Q21VydFLVH3TRQUabQu_ym0Zz7PgGX0-kHA/edit?usp=sharing"",""แผน!ID28"")"),0)</f>
        <v>0</v>
      </c>
      <c r="J700" s="270">
        <f ca="1">IFERROR(__xludf.DUMMYFUNCTION("IMPORTRANGE(""https://docs.google.com/spreadsheets/d/1XWAQStnk-4SwqDmLtmXYiTMKHgktTP8We1SCoS47DrQ/edit?usp=sharing"",""จัดที่ดิน!BD28"")"),0)</f>
        <v>0</v>
      </c>
      <c r="K700" s="466">
        <f t="shared" ca="1" si="290"/>
        <v>0</v>
      </c>
      <c r="L700" s="466"/>
      <c r="M700" s="189"/>
      <c r="N700" s="733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IFERROR(__xludf.DUMMYFUNCTION("IMPORTRANGE(""https://docs.google.com/spreadsheets/d/1QqKyyYR6Q21VydFLVH3TRQUabQu_ym0Zz7PgGX0-kHA/edit?usp=sharing"",""แผน!IE28"")"),70)</f>
        <v>70</v>
      </c>
      <c r="J701" s="648">
        <f>J704+J707</f>
        <v>0</v>
      </c>
      <c r="K701" s="195">
        <f t="shared" ca="1" si="290"/>
        <v>0</v>
      </c>
      <c r="L701" s="466"/>
      <c r="M701" s="189"/>
      <c r="N701" s="733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IFERROR(__xludf.DUMMYFUNCTION("IMPORTRANGE(""https://docs.google.com/spreadsheets/d/1QqKyyYR6Q21VydFLVH3TRQUabQu_ym0Zz7PgGX0-kHA/edit?usp=sharing"",""แผน!IF28"")"),70)</f>
        <v>70</v>
      </c>
      <c r="J704" s="215">
        <v>0</v>
      </c>
      <c r="K704" s="466"/>
      <c r="L704" s="466"/>
      <c r="M704" s="189"/>
      <c r="N704" s="733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0</v>
      </c>
      <c r="K705" s="466"/>
      <c r="L705" s="466"/>
      <c r="M705" s="189"/>
      <c r="N705" s="733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0</v>
      </c>
      <c r="K706" s="466"/>
      <c r="L706" s="466"/>
      <c r="M706" s="189"/>
      <c r="N706" s="733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IFERROR(__xludf.DUMMYFUNCTION("IMPORTRANGE(""https://docs.google.com/spreadsheets/d/1QqKyyYR6Q21VydFLVH3TRQUabQu_ym0Zz7PgGX0-kHA/edit?usp=sharing"",""แผน!IG28"")"),0)</f>
        <v>0</v>
      </c>
      <c r="J707" s="215">
        <v>0</v>
      </c>
      <c r="K707" s="466"/>
      <c r="L707" s="466"/>
      <c r="M707" s="189"/>
      <c r="N707" s="733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IFERROR(__xludf.DUMMYFUNCTION("IMPORTRANGE(""https://docs.google.com/spreadsheets/d/1QqKyyYR6Q21VydFLVH3TRQUabQu_ym0Zz7PgGX0-kHA/edit?usp=sharing"",""แผน!IH28"")"),0)</f>
        <v>0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IFERROR(__xludf.DUMMYFUNCTION("IMPORTRANGE(""https://docs.google.com/spreadsheets/d/1XWAQStnk-4SwqDmLtmXYiTMKHgktTP8We1SCoS47DrQ/edit?usp=sharing"",""จัดที่ดิน!BF28"")"),0)</f>
        <v>0</v>
      </c>
      <c r="K718" s="466"/>
      <c r="L718" s="466"/>
      <c r="M718" s="189"/>
      <c r="N718" s="733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IFERROR(__xludf.DUMMYFUNCTION("IMPORTRANGE(""https://docs.google.com/spreadsheets/d/1XWAQStnk-4SwqDmLtmXYiTMKHgktTP8We1SCoS47DrQ/edit?usp=sharing"",""จัดที่ดิน!BG28"")"),0)</f>
        <v>0</v>
      </c>
      <c r="K719" s="466"/>
      <c r="L719" s="733"/>
      <c r="M719" s="189"/>
      <c r="N719" s="733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IFERROR(__xludf.DUMMYFUNCTION("IMPORTRANGE(""https://docs.google.com/spreadsheets/d/1QqKyyYR6Q21VydFLVH3TRQUabQu_ym0Zz7PgGX0-kHA/edit?usp=sharing"",""แผน!II28"")"),14)</f>
        <v>14</v>
      </c>
      <c r="J720" s="270">
        <f ca="1">IFERROR(__xludf.DUMMYFUNCTION("IMPORTRANGE(""https://docs.google.com/spreadsheets/d/1XWAQStnk-4SwqDmLtmXYiTMKHgktTP8We1SCoS47DrQ/edit?usp=sharing"",""จัดที่ดิน!BH28"")"),0)</f>
        <v>0</v>
      </c>
      <c r="K720" s="466">
        <f t="shared" ref="K720:K723" ca="1" si="291">IF(I720&gt;0,J720*100/I720,0)</f>
        <v>0</v>
      </c>
      <c r="L720" s="733"/>
      <c r="M720" s="189"/>
      <c r="N720" s="733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IFERROR(__xludf.DUMMYFUNCTION("IMPORTRANGE(""https://docs.google.com/spreadsheets/d/1QqKyyYR6Q21VydFLVH3TRQUabQu_ym0Zz7PgGX0-kHA/edit?usp=sharing"",""แผน!IJ28"")"),2)</f>
        <v>2</v>
      </c>
      <c r="J721" s="648">
        <f ca="1">J723+J726</f>
        <v>0</v>
      </c>
      <c r="K721" s="195">
        <f t="shared" ca="1" si="291"/>
        <v>0</v>
      </c>
      <c r="L721" s="733"/>
      <c r="M721" s="189"/>
      <c r="N721" s="733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IFERROR(__xludf.DUMMYFUNCTION("IMPORTRANGE(""https://docs.google.com/spreadsheets/d/1QqKyyYR6Q21VydFLVH3TRQUabQu_ym0Zz7PgGX0-kHA/edit?usp=sharing"",""แผน!IK28"")"),29)</f>
        <v>29</v>
      </c>
      <c r="J722" s="648">
        <f ca="1">J725+J728</f>
        <v>0</v>
      </c>
      <c r="K722" s="195">
        <f t="shared" ca="1" si="291"/>
        <v>0</v>
      </c>
      <c r="L722" s="466"/>
      <c r="M722" s="189"/>
      <c r="N722" s="733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IFERROR(__xludf.DUMMYFUNCTION("IMPORTRANGE(""https://docs.google.com/spreadsheets/d/1QqKyyYR6Q21VydFLVH3TRQUabQu_ym0Zz7PgGX0-kHA/edit?usp=sharing"",""แผน!IL28"")"),2)</f>
        <v>2</v>
      </c>
      <c r="J723" s="270">
        <f ca="1">IFERROR(__xludf.DUMMYFUNCTION("IMPORTRANGE(""https://docs.google.com/spreadsheets/d/1XWAQStnk-4SwqDmLtmXYiTMKHgktTP8We1SCoS47DrQ/edit?usp=sharing"",""จัดที่ดิน!BM28"")"),0)</f>
        <v>0</v>
      </c>
      <c r="K723" s="466">
        <f t="shared" ca="1" si="291"/>
        <v>0</v>
      </c>
      <c r="L723" s="466"/>
      <c r="M723" s="189"/>
      <c r="N723" s="733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IFERROR(__xludf.DUMMYFUNCTION("IMPORTRANGE(""https://docs.google.com/spreadsheets/d/1XWAQStnk-4SwqDmLtmXYiTMKHgktTP8We1SCoS47DrQ/edit?usp=sharing"",""จัดที่ดิน!BN28"")"),0)</f>
        <v>0</v>
      </c>
      <c r="K724" s="466"/>
      <c r="L724" s="733"/>
      <c r="M724" s="189"/>
      <c r="N724" s="733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IFERROR(__xludf.DUMMYFUNCTION("IMPORTRANGE(""https://docs.google.com/spreadsheets/d/1QqKyyYR6Q21VydFLVH3TRQUabQu_ym0Zz7PgGX0-kHA/edit?usp=sharing"",""แผน!IM28"")"),29)</f>
        <v>29</v>
      </c>
      <c r="J725" s="270">
        <f ca="1">IFERROR(__xludf.DUMMYFUNCTION("IMPORTRANGE(""https://docs.google.com/spreadsheets/d/1XWAQStnk-4SwqDmLtmXYiTMKHgktTP8We1SCoS47DrQ/edit?usp=sharing"",""จัดที่ดิน!BO28"")"),0)</f>
        <v>0</v>
      </c>
      <c r="K725" s="466">
        <f t="shared" ref="K725:K726" ca="1" si="292">IF(I725&gt;0,J725*100/I725,0)</f>
        <v>0</v>
      </c>
      <c r="L725" s="733"/>
      <c r="M725" s="189"/>
      <c r="N725" s="733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IFERROR(__xludf.DUMMYFUNCTION("IMPORTRANGE(""https://docs.google.com/spreadsheets/d/1QqKyyYR6Q21VydFLVH3TRQUabQu_ym0Zz7PgGX0-kHA/edit?usp=sharing"",""แผน!IN28"")"),0)</f>
        <v>0</v>
      </c>
      <c r="J726" s="270">
        <f ca="1">IFERROR(__xludf.DUMMYFUNCTION("IMPORTRANGE(""https://docs.google.com/spreadsheets/d/1XWAQStnk-4SwqDmLtmXYiTMKHgktTP8We1SCoS47DrQ/edit?usp=sharing"",""จัดที่ดิน!BR28"")"),0)</f>
        <v>0</v>
      </c>
      <c r="K726" s="466">
        <f t="shared" ca="1" si="292"/>
        <v>0</v>
      </c>
      <c r="L726" s="466"/>
      <c r="M726" s="189"/>
      <c r="N726" s="733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IFERROR(__xludf.DUMMYFUNCTION("IMPORTRANGE(""https://docs.google.com/spreadsheets/d/1XWAQStnk-4SwqDmLtmXYiTMKHgktTP8We1SCoS47DrQ/edit?usp=sharing"",""จัดที่ดิน!BS28"")"),0)</f>
        <v>0</v>
      </c>
      <c r="K727" s="466"/>
      <c r="L727" s="733"/>
      <c r="M727" s="189"/>
      <c r="N727" s="733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IFERROR(__xludf.DUMMYFUNCTION("IMPORTRANGE(""https://docs.google.com/spreadsheets/d/1QqKyyYR6Q21VydFLVH3TRQUabQu_ym0Zz7PgGX0-kHA/edit?usp=sharing"",""แผน!IO28"")"),0)</f>
        <v>0</v>
      </c>
      <c r="J728" s="270">
        <f ca="1">IFERROR(__xludf.DUMMYFUNCTION("IMPORTRANGE(""https://docs.google.com/spreadsheets/d/1XWAQStnk-4SwqDmLtmXYiTMKHgktTP8We1SCoS47DrQ/edit?usp=sharing"",""จัดที่ดิน!BT28"")"),0)</f>
        <v>0</v>
      </c>
      <c r="K728" s="466">
        <f t="shared" ref="K728:K729" ca="1" si="293">IF(I728&gt;0,J728*100/I728,0)</f>
        <v>0</v>
      </c>
      <c r="L728" s="733"/>
      <c r="M728" s="189"/>
      <c r="N728" s="733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IFERROR(__xludf.DUMMYFUNCTION("IMPORTRANGE(""https://docs.google.com/spreadsheets/d/1QqKyyYR6Q21VydFLVH3TRQUabQu_ym0Zz7PgGX0-kHA/edit?usp=sharing"",""แผน!IP28"")"),0)</f>
        <v>0</v>
      </c>
      <c r="J729" s="648">
        <f>J732+J735</f>
        <v>0</v>
      </c>
      <c r="K729" s="195">
        <f t="shared" ca="1" si="293"/>
        <v>0</v>
      </c>
      <c r="L729" s="466"/>
      <c r="M729" s="189"/>
      <c r="N729" s="733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0</v>
      </c>
      <c r="K730" s="466"/>
      <c r="L730" s="733"/>
      <c r="M730" s="466"/>
      <c r="N730" s="733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0</v>
      </c>
      <c r="K731" s="466"/>
      <c r="L731" s="733"/>
      <c r="M731" s="466"/>
      <c r="N731" s="733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0</v>
      </c>
      <c r="K732" s="466"/>
      <c r="L732" s="733"/>
      <c r="M732" s="466"/>
      <c r="N732" s="733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0</v>
      </c>
      <c r="K733" s="466"/>
      <c r="L733" s="733"/>
      <c r="M733" s="466"/>
      <c r="N733" s="733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0</v>
      </c>
      <c r="K734" s="466"/>
      <c r="L734" s="733"/>
      <c r="M734" s="466"/>
      <c r="N734" s="733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0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4">L738+L739</f>
        <v>0</v>
      </c>
      <c r="M737" s="614">
        <f t="shared" si="294"/>
        <v>0</v>
      </c>
      <c r="N737" s="614">
        <f t="shared" si="294"/>
        <v>0</v>
      </c>
      <c r="O737" s="614">
        <f t="shared" ref="O737:O742" si="295">IF(L737&gt;0,N737*100/L737,0)</f>
        <v>0</v>
      </c>
      <c r="P737" s="614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6"/>
      <c r="D740" s="805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8">L741+L742</f>
        <v>0</v>
      </c>
      <c r="M740" s="614">
        <f t="shared" si="298"/>
        <v>0</v>
      </c>
      <c r="N740" s="614">
        <f t="shared" si="298"/>
        <v>0</v>
      </c>
      <c r="O740" s="614">
        <f t="shared" si="295"/>
        <v>0</v>
      </c>
      <c r="P740" s="614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6"/>
      <c r="D747" s="805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299">L748+L749</f>
        <v>0</v>
      </c>
      <c r="M747" s="614">
        <f t="shared" si="299"/>
        <v>0</v>
      </c>
      <c r="N747" s="614">
        <f t="shared" si="299"/>
        <v>0</v>
      </c>
      <c r="O747" s="614">
        <f t="shared" ref="O747:O749" si="300">IF(L747&gt;0,N747*100/L747,0)</f>
        <v>0</v>
      </c>
      <c r="P747" s="614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2">L755+L756</f>
        <v>0</v>
      </c>
      <c r="M754" s="614">
        <f t="shared" si="302"/>
        <v>0</v>
      </c>
      <c r="N754" s="614">
        <f t="shared" si="302"/>
        <v>0</v>
      </c>
      <c r="O754" s="614">
        <f t="shared" ref="O754:O759" si="303">IF(L754&gt;0,N754*100/L754,0)</f>
        <v>0</v>
      </c>
      <c r="P754" s="614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6"/>
      <c r="D757" s="805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6">L758+L759</f>
        <v>0</v>
      </c>
      <c r="M757" s="614">
        <f t="shared" si="306"/>
        <v>0</v>
      </c>
      <c r="N757" s="614">
        <f t="shared" si="306"/>
        <v>0</v>
      </c>
      <c r="O757" s="614">
        <f t="shared" si="303"/>
        <v>0</v>
      </c>
      <c r="P757" s="614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6"/>
      <c r="D764" s="805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7">L765+L766</f>
        <v>0</v>
      </c>
      <c r="M764" s="614">
        <f t="shared" si="307"/>
        <v>0</v>
      </c>
      <c r="N764" s="614">
        <f t="shared" si="307"/>
        <v>0</v>
      </c>
      <c r="O764" s="614">
        <f t="shared" ref="O764:O766" si="308">IF(L764&gt;0,N764*100/L764,0)</f>
        <v>0</v>
      </c>
      <c r="P764" s="614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0">L771+L772</f>
        <v>0</v>
      </c>
      <c r="M770" s="614">
        <f t="shared" si="310"/>
        <v>0</v>
      </c>
      <c r="N770" s="614">
        <f t="shared" si="310"/>
        <v>0</v>
      </c>
      <c r="O770" s="614">
        <f t="shared" ref="O770:O775" si="311">IF(L770&gt;0,N770*100/L770,0)</f>
        <v>0</v>
      </c>
      <c r="P770" s="614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6"/>
      <c r="D773" s="805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4">L774+L775</f>
        <v>0</v>
      </c>
      <c r="M773" s="614">
        <f t="shared" si="314"/>
        <v>0</v>
      </c>
      <c r="N773" s="614">
        <f t="shared" si="314"/>
        <v>0</v>
      </c>
      <c r="O773" s="614">
        <f t="shared" si="311"/>
        <v>0</v>
      </c>
      <c r="P773" s="614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6"/>
      <c r="D780" s="805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5">L781+L782</f>
        <v>0</v>
      </c>
      <c r="M780" s="614">
        <f t="shared" si="315"/>
        <v>0</v>
      </c>
      <c r="N780" s="614">
        <f t="shared" si="315"/>
        <v>0</v>
      </c>
      <c r="O780" s="614">
        <f t="shared" ref="O780:O782" si="316">IF(L780&gt;0,N780*100/L780,0)</f>
        <v>0</v>
      </c>
      <c r="P780" s="614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 hidden="1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773" t="s">
        <v>46</v>
      </c>
      <c r="I785" s="863">
        <f t="shared" ref="I785:J785" ca="1" si="318">I800</f>
        <v>0</v>
      </c>
      <c r="J785" s="774">
        <f t="shared" ca="1" si="318"/>
        <v>0</v>
      </c>
      <c r="K785" s="775">
        <f ca="1">IF(I785&gt;0,J785*100/I785,0)</f>
        <v>0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 hidden="1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563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6"/>
      <c r="D787" s="687"/>
      <c r="E787" s="726" t="s">
        <v>184</v>
      </c>
      <c r="F787" s="726"/>
      <c r="G787" s="568"/>
      <c r="H787" s="165" t="s">
        <v>12</v>
      </c>
      <c r="I787" s="584"/>
      <c r="J787" s="584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6" t="s">
        <v>185</v>
      </c>
      <c r="F788" s="726"/>
      <c r="G788" s="568"/>
      <c r="H788" s="165" t="s">
        <v>12</v>
      </c>
      <c r="I788" s="584"/>
      <c r="J788" s="584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 hidden="1">
      <c r="A789" s="562"/>
      <c r="B789" s="539"/>
      <c r="C789" s="539"/>
      <c r="D789" s="571" t="s">
        <v>20</v>
      </c>
      <c r="E789" s="730"/>
      <c r="F789" s="730"/>
      <c r="G789" s="189"/>
      <c r="H789" s="779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6" t="s">
        <v>184</v>
      </c>
      <c r="F790" s="726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6" t="s">
        <v>185</v>
      </c>
      <c r="F791" s="726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IFERROR(__xludf.DUMMYFUNCTION("IMPORTRANGE(""https://docs.google.com/spreadsheets/d/1QqKyyYR6Q21VydFLVH3TRQUabQu_ym0Zz7PgGX0-kHA/edit?usp=sharing"",""แผน!JJ28"")"),0)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 hidden="1">
      <c r="A792" s="538"/>
      <c r="B792" s="539"/>
      <c r="C792" s="730"/>
      <c r="D792" s="730"/>
      <c r="E792" s="730"/>
      <c r="F792" s="730" t="s">
        <v>186</v>
      </c>
      <c r="G792" s="189"/>
      <c r="H792" s="779" t="s">
        <v>12</v>
      </c>
      <c r="I792" s="270"/>
      <c r="J792" s="270"/>
      <c r="K792" s="466"/>
      <c r="L792" s="466"/>
      <c r="M792" s="466"/>
      <c r="N792" s="801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 hidden="1">
      <c r="A793" s="538"/>
      <c r="B793" s="539"/>
      <c r="C793" s="730"/>
      <c r="D793" s="730"/>
      <c r="E793" s="730"/>
      <c r="F793" s="730" t="s">
        <v>187</v>
      </c>
      <c r="G793" s="189"/>
      <c r="H793" s="779" t="s">
        <v>12</v>
      </c>
      <c r="I793" s="270"/>
      <c r="J793" s="270"/>
      <c r="K793" s="466"/>
      <c r="L793" s="466"/>
      <c r="M793" s="466"/>
      <c r="N793" s="801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 hidden="1">
      <c r="A794" s="538"/>
      <c r="B794" s="539"/>
      <c r="C794" s="730"/>
      <c r="D794" s="730"/>
      <c r="E794" s="730"/>
      <c r="F794" s="730" t="s">
        <v>188</v>
      </c>
      <c r="G794" s="189"/>
      <c r="H794" s="779" t="s">
        <v>12</v>
      </c>
      <c r="I794" s="270"/>
      <c r="J794" s="270"/>
      <c r="K794" s="466"/>
      <c r="L794" s="466"/>
      <c r="M794" s="466"/>
      <c r="N794" s="801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 hidden="1">
      <c r="A795" s="538"/>
      <c r="B795" s="539"/>
      <c r="C795" s="730"/>
      <c r="D795" s="730"/>
      <c r="E795" s="730"/>
      <c r="F795" s="730" t="s">
        <v>189</v>
      </c>
      <c r="G795" s="189"/>
      <c r="H795" s="779" t="s">
        <v>12</v>
      </c>
      <c r="I795" s="270"/>
      <c r="J795" s="270"/>
      <c r="K795" s="466"/>
      <c r="L795" s="466"/>
      <c r="M795" s="466"/>
      <c r="N795" s="801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 hidden="1">
      <c r="A796" s="562"/>
      <c r="B796" s="539"/>
      <c r="C796" s="730"/>
      <c r="D796" s="571" t="s">
        <v>21</v>
      </c>
      <c r="E796" s="730"/>
      <c r="F796" s="730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6"/>
      <c r="D797" s="726"/>
      <c r="E797" s="726" t="s">
        <v>18</v>
      </c>
      <c r="F797" s="726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6"/>
      <c r="D798" s="726"/>
      <c r="E798" s="726" t="s">
        <v>19</v>
      </c>
      <c r="F798" s="726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 hidden="1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777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 hidden="1">
      <c r="A800" s="573"/>
      <c r="B800" s="585"/>
      <c r="C800" s="585"/>
      <c r="D800" s="585"/>
      <c r="E800" s="593"/>
      <c r="F800" s="593" t="s">
        <v>320</v>
      </c>
      <c r="G800" s="729"/>
      <c r="H800" s="778" t="s">
        <v>46</v>
      </c>
      <c r="I800" s="184">
        <f ca="1">IFERROR(__xludf.DUMMYFUNCTION("IMPORTRANGE(""https://docs.google.com/spreadsheets/d/1QqKyyYR6Q21VydFLVH3TRQUabQu_ym0Zz7PgGX0-kHA/edit?usp=sharing"",""แผน!JN28"")"),0)</f>
        <v>0</v>
      </c>
      <c r="J800" s="184">
        <f ca="1">IFERROR(__xludf.DUMMYFUNCTION("IMPORTRANGE(""https://docs.google.com/spreadsheets/d/1MaWodYyGHDf7siQLGxnXhG4mBNTNIuy296niS2xXulU/edit?usp=sharing"",""RTK!H28"")"),0)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 hidden="1">
      <c r="A801" s="573"/>
      <c r="B801" s="585"/>
      <c r="C801" s="585"/>
      <c r="D801" s="585"/>
      <c r="E801" s="593"/>
      <c r="F801" s="593"/>
      <c r="G801" s="729"/>
      <c r="H801" s="779" t="s">
        <v>34</v>
      </c>
      <c r="I801" s="184"/>
      <c r="J801" s="270">
        <f ca="1">IFERROR(__xludf.DUMMYFUNCTION("IMPORTRANGE(""https://docs.google.com/spreadsheets/d/1MaWodYyGHDf7siQLGxnXhG4mBNTNIuy296niS2xXulU/edit?usp=sharing"",""RTK!I28"")"),0)</f>
        <v>0</v>
      </c>
      <c r="K801" s="466"/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 hidden="1">
      <c r="A802" s="579"/>
      <c r="B802" s="581"/>
      <c r="C802" s="581"/>
      <c r="D802" s="581"/>
      <c r="E802" s="687"/>
      <c r="F802" s="687" t="s">
        <v>321</v>
      </c>
      <c r="G802" s="582"/>
      <c r="H802" s="620" t="s">
        <v>46</v>
      </c>
      <c r="I802" s="166"/>
      <c r="J802" s="584"/>
      <c r="K802" s="167">
        <f>IF(I802&gt;0,J802*100/I802,0)</f>
        <v>0</v>
      </c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 hidden="1">
      <c r="A803" s="579"/>
      <c r="B803" s="581"/>
      <c r="C803" s="581"/>
      <c r="D803" s="581"/>
      <c r="E803" s="687"/>
      <c r="F803" s="687"/>
      <c r="G803" s="582"/>
      <c r="H803" s="620" t="s">
        <v>34</v>
      </c>
      <c r="I803" s="166"/>
      <c r="J803" s="584"/>
      <c r="K803" s="167"/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>IF(I804&gt;0,J804*100/I804,0)</f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7">L806+L807</f>
        <v>0</v>
      </c>
      <c r="M805" s="614">
        <f t="shared" si="327"/>
        <v>0</v>
      </c>
      <c r="N805" s="614">
        <f t="shared" si="327"/>
        <v>0</v>
      </c>
      <c r="O805" s="614">
        <f t="shared" ref="O805:O810" si="328">IF(L805&gt;0,N805*100/L805,0)</f>
        <v>0</v>
      </c>
      <c r="P805" s="614">
        <f t="shared" ref="P805:P810" si="329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1">L809+L810</f>
        <v>0</v>
      </c>
      <c r="M808" s="614">
        <f t="shared" si="331"/>
        <v>0</v>
      </c>
      <c r="N808" s="614">
        <f t="shared" si="331"/>
        <v>0</v>
      </c>
      <c r="O808" s="614">
        <f t="shared" si="328"/>
        <v>0</v>
      </c>
      <c r="P808" s="614">
        <f t="shared" si="329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2">L816+L817</f>
        <v>0</v>
      </c>
      <c r="M815" s="614">
        <f t="shared" si="332"/>
        <v>0</v>
      </c>
      <c r="N815" s="614">
        <f t="shared" si="332"/>
        <v>0</v>
      </c>
      <c r="O815" s="614">
        <f t="shared" ref="O815:O817" si="333">IF(L815&gt;0,N815*100/L815,0)</f>
        <v>0</v>
      </c>
      <c r="P815" s="614">
        <f t="shared" ref="P815:P817" si="334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55" t="s">
        <v>332</v>
      </c>
      <c r="B820" s="856"/>
      <c r="C820" s="856"/>
      <c r="D820" s="857"/>
      <c r="E820" s="856"/>
      <c r="F820" s="856"/>
      <c r="G820" s="858"/>
      <c r="H820" s="8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60"/>
      <c r="J820" s="860"/>
      <c r="K820" s="861"/>
      <c r="L820" s="861"/>
      <c r="M820" s="861"/>
      <c r="N820" s="861"/>
      <c r="O820" s="861"/>
      <c r="P820" s="86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IFERROR(__xludf.DUMMYFUNCTION("IMPORTRANGE(""https://docs.google.com/spreadsheets/d/19vJNZY_5yjcGF2XGBMNZRCAIB0Kwfpjp8YEOfu-bneM/edit?usp=sharing"",""งานกองทุน!D28"")"),7046532.4)</f>
        <v>7046532.4000000004</v>
      </c>
      <c r="J821" s="270">
        <f ca="1">IFERROR(__xludf.DUMMYFUNCTION("IMPORTRANGE(""https://docs.google.com/spreadsheets/d/19vJNZY_5yjcGF2XGBMNZRCAIB0Kwfpjp8YEOfu-bneM/edit?usp=sharing"",""งานกองทุน!F28"")"),2158787.28)</f>
        <v>2158787.2799999998</v>
      </c>
      <c r="K821" s="466">
        <f t="shared" ref="K821:K828" ca="1" si="335">IF(I821&gt;0,J821*100/I821,0)</f>
        <v>30.636164817747797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IFERROR(__xludf.DUMMYFUNCTION("IMPORTRANGE(""https://docs.google.com/spreadsheets/d/19vJNZY_5yjcGF2XGBMNZRCAIB0Kwfpjp8YEOfu-bneM/edit?usp=sharing"",""งานกองทุน!C28"")"),356)</f>
        <v>356</v>
      </c>
      <c r="J822" s="270">
        <f ca="1">IFERROR(__xludf.DUMMYFUNCTION("IMPORTRANGE(""https://docs.google.com/spreadsheets/d/19vJNZY_5yjcGF2XGBMNZRCAIB0Kwfpjp8YEOfu-bneM/edit?usp=sharing"",""งานกองทุน!E28"")"),179)</f>
        <v>179</v>
      </c>
      <c r="K822" s="466">
        <f t="shared" ca="1" si="335"/>
        <v>50.280898876404493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IFERROR(__xludf.DUMMYFUNCTION("IMPORTRANGE(""https://docs.google.com/spreadsheets/d/19vJNZY_5yjcGF2XGBMNZRCAIB0Kwfpjp8YEOfu-bneM/edit?usp=sharing"",""งานกองทุน!I28"")"),6666111.12)</f>
        <v>6666111.1200000001</v>
      </c>
      <c r="J823" s="270">
        <f ca="1">IFERROR(__xludf.DUMMYFUNCTION("IMPORTRANGE(""https://docs.google.com/spreadsheets/d/19vJNZY_5yjcGF2XGBMNZRCAIB0Kwfpjp8YEOfu-bneM/edit?usp=sharing"",""งานกองทุน!K28"")"),702246.92)</f>
        <v>702246.92</v>
      </c>
      <c r="K823" s="466">
        <f t="shared" ca="1" si="335"/>
        <v>10.534581667759538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IFERROR(__xludf.DUMMYFUNCTION("IMPORTRANGE(""https://docs.google.com/spreadsheets/d/19vJNZY_5yjcGF2XGBMNZRCAIB0Kwfpjp8YEOfu-bneM/edit?usp=sharing"",""งานกองทุน!H28"")"),246)</f>
        <v>246</v>
      </c>
      <c r="J824" s="270">
        <f ca="1">IFERROR(__xludf.DUMMYFUNCTION("IMPORTRANGE(""https://docs.google.com/spreadsheets/d/19vJNZY_5yjcGF2XGBMNZRCAIB0Kwfpjp8YEOfu-bneM/edit?usp=sharing"",""งานกองทุน!J28"")"),160)</f>
        <v>160</v>
      </c>
      <c r="K824" s="466">
        <f t="shared" ca="1" si="335"/>
        <v>65.040650406504071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IFERROR(__xludf.DUMMYFUNCTION("IMPORTRANGE(""https://docs.google.com/spreadsheets/d/19vJNZY_5yjcGF2XGBMNZRCAIB0Kwfpjp8YEOfu-bneM/edit?usp=sharing"",""งานกองทุน!N28"")"),2460883.33)</f>
        <v>2460883.33</v>
      </c>
      <c r="J825" s="270">
        <f ca="1">IFERROR(__xludf.DUMMYFUNCTION("IMPORTRANGE(""https://docs.google.com/spreadsheets/d/19vJNZY_5yjcGF2XGBMNZRCAIB0Kwfpjp8YEOfu-bneM/edit?usp=sharing"",""งานกองทุน!P28"")"),585969.35)</f>
        <v>585969.35</v>
      </c>
      <c r="K825" s="466">
        <f t="shared" ca="1" si="335"/>
        <v>23.811342165497948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IFERROR(__xludf.DUMMYFUNCTION("IMPORTRANGE(""https://docs.google.com/spreadsheets/d/19vJNZY_5yjcGF2XGBMNZRCAIB0Kwfpjp8YEOfu-bneM/edit?usp=sharing"",""งานกองทุน!M28"")"),181)</f>
        <v>181</v>
      </c>
      <c r="J826" s="270">
        <f ca="1">IFERROR(__xludf.DUMMYFUNCTION("IMPORTRANGE(""https://docs.google.com/spreadsheets/d/19vJNZY_5yjcGF2XGBMNZRCAIB0Kwfpjp8YEOfu-bneM/edit?usp=sharing"",""งานกองทุน!O28"")"),45)</f>
        <v>45</v>
      </c>
      <c r="K826" s="466">
        <f t="shared" ca="1" si="335"/>
        <v>24.861878453038674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IFERROR(__xludf.DUMMYFUNCTION("IMPORTRANGE(""https://docs.google.com/spreadsheets/d/19vJNZY_5yjcGF2XGBMNZRCAIB0Kwfpjp8YEOfu-bneM/edit?usp=sharing"",""งานกองทุน!S28"")"),5000000)</f>
        <v>5000000</v>
      </c>
      <c r="J827" s="270">
        <f ca="1">IFERROR(__xludf.DUMMYFUNCTION("IMPORTRANGE(""https://docs.google.com/spreadsheets/d/19vJNZY_5yjcGF2XGBMNZRCAIB0Kwfpjp8YEOfu-bneM/edit?usp=sharing"",""งานกองทุน!U28"")"),3670000)</f>
        <v>3670000</v>
      </c>
      <c r="K827" s="466">
        <f t="shared" ca="1" si="335"/>
        <v>73.400000000000006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IFERROR(__xludf.DUMMYFUNCTION("IMPORTRANGE(""https://docs.google.com/spreadsheets/d/19vJNZY_5yjcGF2XGBMNZRCAIB0Kwfpjp8YEOfu-bneM/edit?usp=sharing"",""งานกองทุน!R28"")"),179)</f>
        <v>179</v>
      </c>
      <c r="J828" s="469">
        <f ca="1">IFERROR(__xludf.DUMMYFUNCTION("IMPORTRANGE(""https://docs.google.com/spreadsheets/d/19vJNZY_5yjcGF2XGBMNZRCAIB0Kwfpjp8YEOfu-bneM/edit?usp=sharing"",""งานกองทุน!T28"")"),79)</f>
        <v>79</v>
      </c>
      <c r="K828" s="470">
        <f t="shared" ca="1" si="335"/>
        <v>44.134078212290504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0D4C-776F-4F3D-86EA-18379677B2E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4" customWidth="1"/>
    <col min="4" max="6" width="5.85546875" style="804" customWidth="1"/>
    <col min="7" max="7" width="56.42578125" style="804" customWidth="1"/>
    <col min="8" max="8" width="9.42578125" style="804" customWidth="1"/>
    <col min="9" max="9" width="18.7109375" style="804" bestFit="1" customWidth="1"/>
    <col min="10" max="10" width="16.85546875" style="804" bestFit="1" customWidth="1"/>
    <col min="11" max="11" width="12.5703125" style="804" customWidth="1"/>
    <col min="12" max="13" width="20.28515625" style="804" bestFit="1" customWidth="1"/>
    <col min="14" max="14" width="21.28515625" style="804" bestFit="1" customWidth="1"/>
    <col min="15" max="16" width="17.5703125" style="804" customWidth="1"/>
    <col min="17" max="16384" width="12.5703125" style="804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353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4997777</v>
      </c>
      <c r="M8" s="22">
        <f t="shared" ca="1" si="0"/>
        <v>2748131</v>
      </c>
      <c r="N8" s="22">
        <f t="shared" ca="1" si="0"/>
        <v>2055944.67</v>
      </c>
      <c r="O8" s="22">
        <f t="shared" ref="O8:O16" ca="1" si="1">IF(L8&gt;0,N8*100/L8,0)</f>
        <v>41.137182991558049</v>
      </c>
      <c r="P8" s="22">
        <f t="shared" ref="P8:P16" ca="1" si="2">IF(M8&gt;0,N8*100/M8,0)</f>
        <v>74.812469638456093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4997777</v>
      </c>
      <c r="M10" s="30">
        <f t="shared" ca="1" si="3"/>
        <v>2748131</v>
      </c>
      <c r="N10" s="30">
        <f t="shared" ca="1" si="3"/>
        <v>2055944.67</v>
      </c>
      <c r="O10" s="30">
        <f t="shared" ca="1" si="1"/>
        <v>41.137182991558049</v>
      </c>
      <c r="P10" s="30">
        <f t="shared" ca="1" si="2"/>
        <v>74.812469638456093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4578977</v>
      </c>
      <c r="M11" s="466">
        <f t="shared" ca="1" si="4"/>
        <v>2337665</v>
      </c>
      <c r="N11" s="466">
        <f t="shared" ca="1" si="4"/>
        <v>1645478.67</v>
      </c>
      <c r="O11" s="466">
        <f t="shared" ca="1" si="1"/>
        <v>35.935508520789689</v>
      </c>
      <c r="P11" s="466">
        <f t="shared" ca="1" si="2"/>
        <v>70.38984071712585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4578977</v>
      </c>
      <c r="M13" s="93">
        <f t="shared" ca="1" si="5"/>
        <v>2337665</v>
      </c>
      <c r="N13" s="93">
        <f t="shared" ca="1" si="5"/>
        <v>1645478.67</v>
      </c>
      <c r="O13" s="93">
        <f t="shared" ca="1" si="1"/>
        <v>35.935508520789689</v>
      </c>
      <c r="P13" s="93">
        <f t="shared" ca="1" si="2"/>
        <v>70.38984071712585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418800</v>
      </c>
      <c r="M14" s="466">
        <f t="shared" ca="1" si="6"/>
        <v>410466</v>
      </c>
      <c r="N14" s="466">
        <f t="shared" ca="1" si="6"/>
        <v>410466</v>
      </c>
      <c r="O14" s="466">
        <f t="shared" ca="1" si="1"/>
        <v>98.010028653295123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418800</v>
      </c>
      <c r="M16" s="52">
        <f t="shared" ca="1" si="7"/>
        <v>410466</v>
      </c>
      <c r="N16" s="52">
        <f t="shared" ca="1" si="7"/>
        <v>410466</v>
      </c>
      <c r="O16" s="52">
        <f t="shared" ca="1" si="1"/>
        <v>98.010028653295123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3408865</v>
      </c>
      <c r="M18" s="22">
        <f t="shared" ca="1" si="8"/>
        <v>2748131</v>
      </c>
      <c r="N18" s="22">
        <f t="shared" ca="1" si="8"/>
        <v>1638594.67</v>
      </c>
      <c r="O18" s="22">
        <f t="shared" ref="O18:O26" ca="1" si="9">IF(L18&gt;0,N18*100/L18,0)</f>
        <v>48.068629001148473</v>
      </c>
      <c r="P18" s="22">
        <f t="shared" ref="P18:P26" ca="1" si="10">IF(M18&gt;0,N18*100/M18,0)</f>
        <v>59.625784578682747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3408865</v>
      </c>
      <c r="M20" s="30">
        <f t="shared" ca="1" si="11"/>
        <v>2748131</v>
      </c>
      <c r="N20" s="30">
        <f t="shared" ca="1" si="11"/>
        <v>1638594.67</v>
      </c>
      <c r="O20" s="30">
        <f t="shared" ca="1" si="9"/>
        <v>48.068629001148473</v>
      </c>
      <c r="P20" s="30">
        <f t="shared" ca="1" si="10"/>
        <v>59.625784578682747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2990065</v>
      </c>
      <c r="M21" s="466">
        <f t="shared" ca="1" si="12"/>
        <v>2337665</v>
      </c>
      <c r="N21" s="466">
        <f t="shared" ca="1" si="12"/>
        <v>1228128.67</v>
      </c>
      <c r="O21" s="466">
        <f t="shared" ca="1" si="9"/>
        <v>41.07364455287761</v>
      </c>
      <c r="P21" s="466">
        <f t="shared" ca="1" si="10"/>
        <v>52.536555494478463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2990065</v>
      </c>
      <c r="M23" s="93">
        <f t="shared" ca="1" si="13"/>
        <v>2337665</v>
      </c>
      <c r="N23" s="93">
        <f t="shared" ca="1" si="13"/>
        <v>1228128.67</v>
      </c>
      <c r="O23" s="93">
        <f t="shared" ca="1" si="9"/>
        <v>41.07364455287761</v>
      </c>
      <c r="P23" s="93">
        <f t="shared" ca="1" si="10"/>
        <v>52.536555494478463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418800</v>
      </c>
      <c r="M24" s="466">
        <f t="shared" ca="1" si="14"/>
        <v>410466</v>
      </c>
      <c r="N24" s="466">
        <f t="shared" ca="1" si="14"/>
        <v>410466</v>
      </c>
      <c r="O24" s="466">
        <f t="shared" ca="1" si="9"/>
        <v>98.010028653295123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418800</v>
      </c>
      <c r="M26" s="52">
        <f t="shared" ca="1" si="15"/>
        <v>410466</v>
      </c>
      <c r="N26" s="52">
        <f t="shared" ca="1" si="15"/>
        <v>410466</v>
      </c>
      <c r="O26" s="52">
        <f t="shared" ca="1" si="9"/>
        <v>98.010028653295123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1588912</v>
      </c>
      <c r="M28" s="22">
        <f t="shared" si="16"/>
        <v>0</v>
      </c>
      <c r="N28" s="22">
        <f t="shared" si="16"/>
        <v>417350</v>
      </c>
      <c r="O28" s="22">
        <f t="shared" ref="O28:O37" ca="1" si="17">IF(L28&gt;0,N28*100/L28,0)</f>
        <v>26.26640116003907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1588912</v>
      </c>
      <c r="M30" s="30">
        <f t="shared" si="19"/>
        <v>0</v>
      </c>
      <c r="N30" s="30">
        <f t="shared" si="19"/>
        <v>417350</v>
      </c>
      <c r="O30" s="30">
        <f t="shared" ca="1" si="17"/>
        <v>26.26640116003907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1588912</v>
      </c>
      <c r="M31" s="466">
        <f t="shared" si="20"/>
        <v>0</v>
      </c>
      <c r="N31" s="466">
        <f t="shared" si="20"/>
        <v>417350</v>
      </c>
      <c r="O31" s="466">
        <f t="shared" ca="1" si="17"/>
        <v>26.26640116003907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1588912</v>
      </c>
      <c r="M33" s="93">
        <f t="shared" si="21"/>
        <v>0</v>
      </c>
      <c r="N33" s="93">
        <f t="shared" si="21"/>
        <v>417350</v>
      </c>
      <c r="O33" s="93">
        <f t="shared" ca="1" si="17"/>
        <v>26.26640116003907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3408865</v>
      </c>
      <c r="M37" s="812">
        <f t="shared" ca="1" si="24"/>
        <v>2748131</v>
      </c>
      <c r="N37" s="812">
        <f t="shared" ca="1" si="24"/>
        <v>1638594.67</v>
      </c>
      <c r="O37" s="812">
        <f t="shared" ca="1" si="17"/>
        <v>48.068629001148473</v>
      </c>
      <c r="P37" s="812">
        <f t="shared" ca="1" si="18"/>
        <v>59.625784578682747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493450</v>
      </c>
      <c r="M41" s="85">
        <f t="shared" ca="1" si="25"/>
        <v>500890</v>
      </c>
      <c r="N41" s="85">
        <f t="shared" ca="1" si="25"/>
        <v>214497</v>
      </c>
      <c r="O41" s="85">
        <f t="shared" ref="O41:O49" ca="1" si="26">IF(L41&gt;0,N41*100/L41,0)</f>
        <v>43.468841827946093</v>
      </c>
      <c r="P41" s="85">
        <f t="shared" ref="P41:P49" ca="1" si="27">IF(M41&gt;0,N41*100/M41,0)</f>
        <v>42.823174748946876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493450</v>
      </c>
      <c r="M43" s="92">
        <f t="shared" ca="1" si="28"/>
        <v>500890</v>
      </c>
      <c r="N43" s="92">
        <f t="shared" ca="1" si="28"/>
        <v>214497</v>
      </c>
      <c r="O43" s="92">
        <f t="shared" ca="1" si="26"/>
        <v>43.468841827946093</v>
      </c>
      <c r="P43" s="92">
        <f t="shared" ca="1" si="27"/>
        <v>42.823174748946876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493450</v>
      </c>
      <c r="M44" s="466">
        <f t="shared" ca="1" si="29"/>
        <v>500890</v>
      </c>
      <c r="N44" s="466">
        <f t="shared" ca="1" si="29"/>
        <v>214497</v>
      </c>
      <c r="O44" s="466">
        <f t="shared" ca="1" si="26"/>
        <v>43.468841827946093</v>
      </c>
      <c r="P44" s="466">
        <f t="shared" ca="1" si="27"/>
        <v>42.823174748946876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IFERROR(__xludf.DUMMYFUNCTION("IMPORTRANGE(""https://docs.google.com/spreadsheets/d/1MeEWN-I1oV_STSDYn1IFDPWt_1FKiwhDph83XaGc0o0/edit?usp=sharing"",""งบพรบ!M29"")"),493450)</f>
        <v>493450</v>
      </c>
      <c r="M46" s="93">
        <f ca="1">IFERROR(__xludf.DUMMYFUNCTION("IMPORTRANGE(""https://docs.google.com/spreadsheets/d/1MeEWN-I1oV_STSDYn1IFDPWt_1FKiwhDph83XaGc0o0/edit?usp=sharing"",""งบพรบ!R29"")"),500890)</f>
        <v>500890</v>
      </c>
      <c r="N46" s="93">
        <f ca="1">IFERROR(__xludf.DUMMYFUNCTION("IMPORTRANGE(""https://docs.google.com/spreadsheets/d/1MeEWN-I1oV_STSDYn1IFDPWt_1FKiwhDph83XaGc0o0/edit?usp=sharing"",""งบพรบ!T29"")"),214497)</f>
        <v>214497</v>
      </c>
      <c r="O46" s="93">
        <f t="shared" ca="1" si="26"/>
        <v>43.468841827946093</v>
      </c>
      <c r="P46" s="93">
        <f t="shared" ca="1" si="27"/>
        <v>42.823174748946876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IFERROR(__xludf.DUMMYFUNCTION("IMPORTRANGE(""https://docs.google.com/spreadsheets/d/1MeEWN-I1oV_STSDYn1IFDPWt_1FKiwhDph83XaGc0o0/edit?usp=sharing"",""งบพรบ!P29"")"),0)</f>
        <v>0</v>
      </c>
      <c r="M49" s="52">
        <f ca="1">IFERROR(__xludf.DUMMYFUNCTION("IMPORTRANGE(""https://docs.google.com/spreadsheets/d/1MeEWN-I1oV_STSDYn1IFDPWt_1FKiwhDph83XaGc0o0/edit?usp=sharing"",""งบพรบ!S29"")"),0)</f>
        <v>0</v>
      </c>
      <c r="N49" s="52">
        <f ca="1">IFERROR(__xludf.DUMMYFUNCTION("IMPORTRANGE(""https://docs.google.com/spreadsheets/d/1MeEWN-I1oV_STSDYn1IFDPWt_1FKiwhDph83XaGc0o0/edit?usp=sharing"",""งบพรบ!U29"")"),0)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1086200</v>
      </c>
      <c r="M53" s="116">
        <f t="shared" ca="1" si="31"/>
        <v>894316</v>
      </c>
      <c r="N53" s="116">
        <f t="shared" ca="1" si="31"/>
        <v>651899.91999999993</v>
      </c>
      <c r="O53" s="116">
        <f t="shared" ref="O53:O61" ca="1" si="32">IF(L53&gt;0,N53*100/L53,0)</f>
        <v>60.016564168661382</v>
      </c>
      <c r="P53" s="116">
        <f t="shared" ref="P53:P61" ca="1" si="33">IF(M53&gt;0,N53*100/M53,0)</f>
        <v>72.893688584348254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1086200</v>
      </c>
      <c r="M55" s="123">
        <f t="shared" ca="1" si="34"/>
        <v>894316</v>
      </c>
      <c r="N55" s="123">
        <f t="shared" ca="1" si="34"/>
        <v>651899.91999999993</v>
      </c>
      <c r="O55" s="123">
        <f t="shared" ca="1" si="32"/>
        <v>60.016564168661382</v>
      </c>
      <c r="P55" s="123">
        <f t="shared" ca="1" si="33"/>
        <v>72.893688584348254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736200</v>
      </c>
      <c r="M56" s="466">
        <f t="shared" ca="1" si="35"/>
        <v>552150</v>
      </c>
      <c r="N56" s="466">
        <f t="shared" ca="1" si="35"/>
        <v>309733.92</v>
      </c>
      <c r="O56" s="466">
        <f t="shared" ca="1" si="32"/>
        <v>42.071980440097796</v>
      </c>
      <c r="P56" s="466">
        <f t="shared" ca="1" si="33"/>
        <v>56.095973920130398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IFERROR(__xludf.DUMMYFUNCTION("IMPORTRANGE(""https://docs.google.com/spreadsheets/d/1MeEWN-I1oV_STSDYn1IFDPWt_1FKiwhDph83XaGc0o0/edit?usp=sharing"",""งบพรบ!W29"")"),736200)</f>
        <v>736200</v>
      </c>
      <c r="M58" s="93">
        <f ca="1">IFERROR(__xludf.DUMMYFUNCTION("IMPORTRANGE(""https://docs.google.com/spreadsheets/d/1MeEWN-I1oV_STSDYn1IFDPWt_1FKiwhDph83XaGc0o0/edit?usp=sharing"",""งบพรบ!AB29"")"),552150)</f>
        <v>552150</v>
      </c>
      <c r="N58" s="93">
        <f ca="1">IFERROR(__xludf.DUMMYFUNCTION("IMPORTRANGE(""https://docs.google.com/spreadsheets/d/1MeEWN-I1oV_STSDYn1IFDPWt_1FKiwhDph83XaGc0o0/edit?usp=sharing"",""งบพรบ!AD29"")"),309733.92)</f>
        <v>309733.92</v>
      </c>
      <c r="O58" s="93">
        <f t="shared" ca="1" si="32"/>
        <v>42.071980440097796</v>
      </c>
      <c r="P58" s="93">
        <f t="shared" ca="1" si="33"/>
        <v>56.095973920130398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350000</v>
      </c>
      <c r="M59" s="466">
        <f t="shared" ca="1" si="36"/>
        <v>342166</v>
      </c>
      <c r="N59" s="466">
        <f t="shared" ca="1" si="36"/>
        <v>342166</v>
      </c>
      <c r="O59" s="466">
        <f t="shared" ca="1" si="32"/>
        <v>97.761714285714291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IFERROR(__xludf.DUMMYFUNCTION("IMPORTRANGE(""https://docs.google.com/spreadsheets/d/1MeEWN-I1oV_STSDYn1IFDPWt_1FKiwhDph83XaGc0o0/edit?usp=sharing"",""งบพรบ!Z29"")"),350000)</f>
        <v>350000</v>
      </c>
      <c r="M61" s="52">
        <f ca="1">IFERROR(__xludf.DUMMYFUNCTION("IMPORTRANGE(""https://docs.google.com/spreadsheets/d/1MeEWN-I1oV_STSDYn1IFDPWt_1FKiwhDph83XaGc0o0/edit?usp=sharing"",""งบพรบ!AC29"")"),342166)</f>
        <v>342166</v>
      </c>
      <c r="N61" s="52">
        <f ca="1">IFERROR(__xludf.DUMMYFUNCTION("IMPORTRANGE(""https://docs.google.com/spreadsheets/d/1MeEWN-I1oV_STSDYn1IFDPWt_1FKiwhDph83XaGc0o0/edit?usp=sharing"",""งบพรบ!AE29"")"),342166)</f>
        <v>342166</v>
      </c>
      <c r="O61" s="52">
        <f t="shared" ca="1" si="32"/>
        <v>97.761714285714291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IFERROR(__xludf.DUMMYFUNCTION("IMPORTRANGE(""https://docs.google.com/spreadsheets/d/1MeEWN-I1oV_STSDYn1IFDPWt_1FKiwhDph83XaGc0o0/edit?usp=sharing"",""งบพรบ!AG29"")"),0)</f>
        <v>0</v>
      </c>
      <c r="M71" s="93">
        <f ca="1">IFERROR(__xludf.DUMMYFUNCTION("IMPORTRANGE(""https://docs.google.com/spreadsheets/d/1MeEWN-I1oV_STSDYn1IFDPWt_1FKiwhDph83XaGc0o0/edit?usp=sharing"",""งบพรบ!AL29"")"),0)</f>
        <v>0</v>
      </c>
      <c r="N71" s="93">
        <f ca="1">IFERROR(__xludf.DUMMYFUNCTION("IMPORTRANGE(""https://docs.google.com/spreadsheets/d/1MeEWN-I1oV_STSDYn1IFDPWt_1FKiwhDph83XaGc0o0/edit?usp=sharing"",""งบพรบ!AN29"")"),0)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IFERROR(__xludf.DUMMYFUNCTION("IMPORTRANGE(""https://docs.google.com/spreadsheets/d/1MeEWN-I1oV_STSDYn1IFDPWt_1FKiwhDph83XaGc0o0/edit?usp=sharing"",""งบพรบ!AJ29"")"),0)</f>
        <v>0</v>
      </c>
      <c r="M74" s="93">
        <f ca="1">IFERROR(__xludf.DUMMYFUNCTION("IMPORTRANGE(""https://docs.google.com/spreadsheets/d/1MeEWN-I1oV_STSDYn1IFDPWt_1FKiwhDph83XaGc0o0/edit?usp=sharing"",""งบพรบ!AM29"")"),0)</f>
        <v>0</v>
      </c>
      <c r="N74" s="93">
        <f ca="1">IFERROR(__xludf.DUMMYFUNCTION("IMPORTRANGE(""https://docs.google.com/spreadsheets/d/1MeEWN-I1oV_STSDYn1IFDPWt_1FKiwhDph83XaGc0o0/edit?usp=sharing"",""งบพรบ!AO29"")"),0)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IFERROR(__xludf.DUMMYFUNCTION("IMPORTRANGE(""https://docs.google.com/spreadsheets/d/1QqKyyYR6Q21VydFLVH3TRQUabQu_ym0Zz7PgGX0-kHA/edit?usp=sharing"",""แผน!H29"")"),0)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IFERROR(__xludf.DUMMYFUNCTION("IMPORTRANGE(""https://docs.google.com/spreadsheets/d/1QqKyyYR6Q21VydFLVH3TRQUabQu_ym0Zz7PgGX0-kHA/edit?usp=sharing"",""แผน!I29"")"),0)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IFERROR(__xludf.DUMMYFUNCTION("IMPORTRANGE(""https://docs.google.com/spreadsheets/d/1QqKyyYR6Q21VydFLVH3TRQUabQu_ym0Zz7PgGX0-kHA/edit?usp=sharing"",""แผน!F29"")"),0)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IFERROR(__xludf.DUMMYFUNCTION("IMPORTRANGE(""https://docs.google.com/spreadsheets/d/1QqKyyYR6Q21VydFLVH3TRQUabQu_ym0Zz7PgGX0-kHA/edit?usp=sharing"",""แผน!G29"")"),0)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IFERROR(__xludf.DUMMYFUNCTION("IMPORTRANGE(""https://docs.google.com/spreadsheets/d/1QqKyyYR6Q21VydFLVH3TRQUabQu_ym0Zz7PgGX0-kHA/edit?usp=sharing"",""แผน!D29"")"),0)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IFERROR(__xludf.DUMMYFUNCTION("IMPORTRANGE(""https://docs.google.com/spreadsheets/d/1QqKyyYR6Q21VydFLVH3TRQUabQu_ym0Zz7PgGX0-kHA/edit?usp=sharing"",""แผน!E29"")"),0)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IFERROR(__xludf.DUMMYFUNCTION("IMPORTRANGE(""https://docs.google.com/spreadsheets/d/1QqKyyYR6Q21VydFLVH3TRQUabQu_ym0Zz7PgGX0-kHA/edit?usp=sharing"",""แผน!J29"")"),0)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51590</v>
      </c>
      <c r="N88" s="155">
        <f t="shared" ca="1" si="49"/>
        <v>22800</v>
      </c>
      <c r="O88" s="155">
        <f t="shared" ref="O88:O96" ca="1" si="50">IF(L88&gt;0,N88*100/L88,0)</f>
        <v>26.499302649930264</v>
      </c>
      <c r="P88" s="155">
        <f t="shared" ref="P88:P96" ca="1" si="51">IF(M88&gt;0,N88*100/M88,0)</f>
        <v>44.194611358790461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86040</v>
      </c>
      <c r="M90" s="93">
        <f t="shared" ca="1" si="52"/>
        <v>51590</v>
      </c>
      <c r="N90" s="93">
        <f t="shared" ca="1" si="52"/>
        <v>22800</v>
      </c>
      <c r="O90" s="93">
        <f t="shared" ca="1" si="50"/>
        <v>26.499302649930264</v>
      </c>
      <c r="P90" s="93">
        <f t="shared" ca="1" si="51"/>
        <v>44.194611358790461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51590</v>
      </c>
      <c r="N91" s="466">
        <f t="shared" ca="1" si="53"/>
        <v>22800</v>
      </c>
      <c r="O91" s="466">
        <f t="shared" ca="1" si="50"/>
        <v>26.499302649930264</v>
      </c>
      <c r="P91" s="466">
        <f t="shared" ca="1" si="51"/>
        <v>44.194611358790461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IFERROR(__xludf.DUMMYFUNCTION("IMPORTRANGE(""https://docs.google.com/spreadsheets/d/1MeEWN-I1oV_STSDYn1IFDPWt_1FKiwhDph83XaGc0o0/edit?usp=sharing"",""งบพรบ!AQ29"")"),86040)</f>
        <v>86040</v>
      </c>
      <c r="M93" s="93">
        <f ca="1">IFERROR(__xludf.DUMMYFUNCTION("IMPORTRANGE(""https://docs.google.com/spreadsheets/d/1MeEWN-I1oV_STSDYn1IFDPWt_1FKiwhDph83XaGc0o0/edit?usp=sharing"",""งบพรบ!AV29"")"),51590)</f>
        <v>51590</v>
      </c>
      <c r="N93" s="93">
        <f ca="1">IFERROR(__xludf.DUMMYFUNCTION("IMPORTRANGE(""https://docs.google.com/spreadsheets/d/1MeEWN-I1oV_STSDYn1IFDPWt_1FKiwhDph83XaGc0o0/edit?usp=sharing"",""งบพรบ!AX29"")"),22800)</f>
        <v>22800</v>
      </c>
      <c r="O93" s="93">
        <f t="shared" ca="1" si="50"/>
        <v>26.499302649930264</v>
      </c>
      <c r="P93" s="93">
        <f t="shared" ca="1" si="51"/>
        <v>44.194611358790461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IFERROR(__xludf.DUMMYFUNCTION("IMPORTRANGE(""https://docs.google.com/spreadsheets/d/1MeEWN-I1oV_STSDYn1IFDPWt_1FKiwhDph83XaGc0o0/edit?usp=sharing"",""งบพรบ!AT29"")"),0)</f>
        <v>0</v>
      </c>
      <c r="M96" s="93">
        <f ca="1">IFERROR(__xludf.DUMMYFUNCTION("IMPORTRANGE(""https://docs.google.com/spreadsheets/d/1MeEWN-I1oV_STSDYn1IFDPWt_1FKiwhDph83XaGc0o0/edit?usp=sharing"",""งบพรบ!AW29"")"),0)</f>
        <v>0</v>
      </c>
      <c r="N96" s="93">
        <f ca="1">IFERROR(__xludf.DUMMYFUNCTION("IMPORTRANGE(""https://docs.google.com/spreadsheets/d/1MeEWN-I1oV_STSDYn1IFDPWt_1FKiwhDph83XaGc0o0/edit?usp=sharing"",""งบพรบ!AY29"")"),0)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IFERROR(__xludf.DUMMYFUNCTION("IMPORTRANGE(""https://docs.google.com/spreadsheets/d/1QqKyyYR6Q21VydFLVH3TRQUabQu_ym0Zz7PgGX0-kHA/edit?usp=sharing"",""แผน!K29"")"),30)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IFERROR(__xludf.DUMMYFUNCTION("IMPORTRANGE(""https://docs.google.com/spreadsheets/d/1QqKyyYR6Q21VydFLVH3TRQUabQu_ym0Zz7PgGX0-kHA/edit?usp=sharing"",""แผน!L29"")"),10)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IFERROR(__xludf.DUMMYFUNCTION("IMPORTRANGE(""https://docs.google.com/spreadsheets/d/1QqKyyYR6Q21VydFLVH3TRQUabQu_ym0Zz7PgGX0-kHA/edit?usp=sharing"",""แผน!M29"")"),2)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IFERROR(__xludf.DUMMYFUNCTION("IMPORTRANGE(""https://docs.google.com/spreadsheets/d/1QqKyyYR6Q21VydFLVH3TRQUabQu_ym0Zz7PgGX0-kHA/edit?usp=sharing"",""แผน!N29"")"),30)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IFERROR(__xludf.DUMMYFUNCTION("IMPORTRANGE(""https://docs.google.com/spreadsheets/d/1QqKyyYR6Q21VydFLVH3TRQUabQu_ym0Zz7PgGX0-kHA/edit?usp=sharing"",""แผน!O29"")"),10)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IFERROR(__xludf.DUMMYFUNCTION("IMPORTRANGE(""https://docs.google.com/spreadsheets/d/1QqKyyYR6Q21VydFLVH3TRQUabQu_ym0Zz7PgGX0-kHA/edit?usp=sharing"",""แผน!O29"")"),10)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IFERROR(__xludf.DUMMYFUNCTION("IMPORTRANGE(""https://docs.google.com/spreadsheets/d/1QqKyyYR6Q21VydFLVH3TRQUabQu_ym0Zz7PgGX0-kHA/edit?usp=sharing"",""แผน!P29"")"),1)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IFERROR(__xludf.DUMMYFUNCTION("IMPORTRANGE(""https://docs.google.com/spreadsheets/d/1QqKyyYR6Q21VydFLVH3TRQUabQu_ym0Zz7PgGX0-kHA/edit?usp=sharing"",""แผน!P29"")"),1)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IFERROR(__xludf.DUMMYFUNCTION("IMPORTRANGE(""https://docs.google.com/spreadsheets/d/1QqKyyYR6Q21VydFLVH3TRQUabQu_ym0Zz7PgGX0-kHA/edit?usp=sharing"",""แผน!Q29"")"),1)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IFERROR(__xludf.DUMMYFUNCTION("IMPORTRANGE(""https://docs.google.com/spreadsheets/d/1QqKyyYR6Q21VydFLVH3TRQUabQu_ym0Zz7PgGX0-kHA/edit?usp=sharing"",""แผน!Q29"")"),1)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IFERROR(__xludf.DUMMYFUNCTION("IMPORTRANGE(""https://docs.google.com/spreadsheets/d/1QqKyyYR6Q21VydFLVH3TRQUabQu_ym0Zz7PgGX0-kHA/edit?usp=sharing"",""แผน!R29"")"),10)</f>
        <v>10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IFERROR(__xludf.DUMMYFUNCTION("IMPORTRANGE(""https://docs.google.com/spreadsheets/d/1QqKyyYR6Q21VydFLVH3TRQUabQu_ym0Zz7PgGX0-kHA/edit?usp=sharing"",""แผน!R29"")"),10)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IFERROR(__xludf.DUMMYFUNCTION("IMPORTRANGE(""https://docs.google.com/spreadsheets/d/1QqKyyYR6Q21VydFLVH3TRQUabQu_ym0Zz7PgGX0-kHA/edit?usp=sharing"",""แผน!R29"")"),10)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IFERROR(__xludf.DUMMYFUNCTION("IMPORTRANGE(""https://docs.google.com/spreadsheets/d/1QqKyyYR6Q21VydFLVH3TRQUabQu_ym0Zz7PgGX0-kHA/edit?usp=sharing"",""แผน!S29"")"),1)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IFERROR(__xludf.DUMMYFUNCTION("IMPORTRANGE(""https://docs.google.com/spreadsheets/d/1QqKyyYR6Q21VydFLVH3TRQUabQu_ym0Zz7PgGX0-kHA/edit?usp=sharing"",""แผน!T29"")"),1)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IFERROR(__xludf.DUMMYFUNCTION("IMPORTRANGE(""https://docs.google.com/spreadsheets/d/1MeEWN-I1oV_STSDYn1IFDPWt_1FKiwhDph83XaGc0o0/edit?usp=sharing"",""งบพรบ!BA29"")"),0)</f>
        <v>0</v>
      </c>
      <c r="M124" s="93">
        <f ca="1">IFERROR(__xludf.DUMMYFUNCTION("IMPORTRANGE(""https://docs.google.com/spreadsheets/d/1MeEWN-I1oV_STSDYn1IFDPWt_1FKiwhDph83XaGc0o0/edit?usp=sharing"",""งบพรบ!BF29"")"),0)</f>
        <v>0</v>
      </c>
      <c r="N124" s="93">
        <f ca="1">IFERROR(__xludf.DUMMYFUNCTION("IMPORTRANGE(""https://docs.google.com/spreadsheets/d/1MeEWN-I1oV_STSDYn1IFDPWt_1FKiwhDph83XaGc0o0/edit?usp=sharing"",""งบพรบ!BH29"")"),0)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IFERROR(__xludf.DUMMYFUNCTION("IMPORTRANGE(""https://docs.google.com/spreadsheets/d/1MeEWN-I1oV_STSDYn1IFDPWt_1FKiwhDph83XaGc0o0/edit?usp=sharing"",""งบพรบ!BD29"")"),0)</f>
        <v>0</v>
      </c>
      <c r="M127" s="93">
        <f ca="1">IFERROR(__xludf.DUMMYFUNCTION("IMPORTRANGE(""https://docs.google.com/spreadsheets/d/1MeEWN-I1oV_STSDYn1IFDPWt_1FKiwhDph83XaGc0o0/edit?usp=sharing"",""งบพรบ!BG29"")"),0)</f>
        <v>0</v>
      </c>
      <c r="N127" s="93">
        <f ca="1">IFERROR(__xludf.DUMMYFUNCTION("IMPORTRANGE(""https://docs.google.com/spreadsheets/d/1MeEWN-I1oV_STSDYn1IFDPWt_1FKiwhDph83XaGc0o0/edit?usp=sharing"",""งบพรบ!BI29"")"),0)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IFERROR(__xludf.DUMMYFUNCTION("IMPORTRANGE(""https://docs.google.com/spreadsheets/d/1MeEWN-I1oV_STSDYn1IFDPWt_1FKiwhDph83XaGc0o0/edit?usp=sharing"",""งบพรบ!BK29"")"),0)</f>
        <v>0</v>
      </c>
      <c r="M137" s="93">
        <f ca="1">IFERROR(__xludf.DUMMYFUNCTION("IMPORTRANGE(""https://docs.google.com/spreadsheets/d/1MeEWN-I1oV_STSDYn1IFDPWt_1FKiwhDph83XaGc0o0/edit?usp=sharing"",""งบพรบ!BP29"")"),0)</f>
        <v>0</v>
      </c>
      <c r="N137" s="93">
        <f ca="1">IFERROR(__xludf.DUMMYFUNCTION("IMPORTRANGE(""https://docs.google.com/spreadsheets/d/1MeEWN-I1oV_STSDYn1IFDPWt_1FKiwhDph83XaGc0o0/edit?usp=sharing"",""งบพรบ!BR29"")"),0)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IFERROR(__xludf.DUMMYFUNCTION("IMPORTRANGE(""https://docs.google.com/spreadsheets/d/1MeEWN-I1oV_STSDYn1IFDPWt_1FKiwhDph83XaGc0o0/edit?usp=sharing"",""งบพรบ!BN29"")"),0)</f>
        <v>0</v>
      </c>
      <c r="M140" s="93">
        <f ca="1">IFERROR(__xludf.DUMMYFUNCTION("IMPORTRANGE(""https://docs.google.com/spreadsheets/d/1MeEWN-I1oV_STSDYn1IFDPWt_1FKiwhDph83XaGc0o0/edit?usp=sharing"",""งบพรบ!BQ29"")"),0)</f>
        <v>0</v>
      </c>
      <c r="N140" s="93">
        <f ca="1">IFERROR(__xludf.DUMMYFUNCTION("IMPORTRANGE(""https://docs.google.com/spreadsheets/d/1MeEWN-I1oV_STSDYn1IFDPWt_1FKiwhDph83XaGc0o0/edit?usp=sharing"",""งบพรบ!BS29"")"),0)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IFERROR(__xludf.DUMMYFUNCTION("IMPORTRANGE(""https://docs.google.com/spreadsheets/d/1QqKyyYR6Q21VydFLVH3TRQUabQu_ym0Zz7PgGX0-kHA/edit?usp=sharing"",""แผน!U29"")"),0)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IFERROR(__xludf.DUMMYFUNCTION("IMPORTRANGE(""https://docs.google.com/spreadsheets/d/1QqKyyYR6Q21VydFLVH3TRQUabQu_ym0Zz7PgGX0-kHA/edit?usp=sharing"",""แผน!V29"")"),0)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IFERROR(__xludf.DUMMYFUNCTION("IMPORTRANGE(""https://docs.google.com/spreadsheets/d/1QqKyyYR6Q21VydFLVH3TRQUabQu_ym0Zz7PgGX0-kHA/edit?usp=sharing"",""แผน!W29"")"),0)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IFERROR(__xludf.DUMMYFUNCTION("IMPORTRANGE(""https://docs.google.com/spreadsheets/d/1MeEWN-I1oV_STSDYn1IFDPWt_1FKiwhDph83XaGc0o0/edit?usp=sharing"",""งบพรบ!BU29"")"),0)</f>
        <v>0</v>
      </c>
      <c r="M154" s="93">
        <f ca="1">IFERROR(__xludf.DUMMYFUNCTION("IMPORTRANGE(""https://docs.google.com/spreadsheets/d/1MeEWN-I1oV_STSDYn1IFDPWt_1FKiwhDph83XaGc0o0/edit?usp=sharing"",""งบพรบ!BZ29"")"),0)</f>
        <v>0</v>
      </c>
      <c r="N154" s="93">
        <f ca="1">IFERROR(__xludf.DUMMYFUNCTION("IMPORTRANGE(""https://docs.google.com/spreadsheets/d/1MeEWN-I1oV_STSDYn1IFDPWt_1FKiwhDph83XaGc0o0/edit?usp=sharing"",""งบพรบ!CB29"")"),0)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IFERROR(__xludf.DUMMYFUNCTION("IMPORTRANGE(""https://docs.google.com/spreadsheets/d/1MeEWN-I1oV_STSDYn1IFDPWt_1FKiwhDph83XaGc0o0/edit?usp=sharing"",""งบพรบ!BX29"")"),0)</f>
        <v>0</v>
      </c>
      <c r="M157" s="93">
        <f ca="1">IFERROR(__xludf.DUMMYFUNCTION("IMPORTRANGE(""https://docs.google.com/spreadsheets/d/1MeEWN-I1oV_STSDYn1IFDPWt_1FKiwhDph83XaGc0o0/edit?usp=sharing"",""งบพรบ!CA29"")"),0)</f>
        <v>0</v>
      </c>
      <c r="N157" s="93">
        <f ca="1">IFERROR(__xludf.DUMMYFUNCTION("IMPORTRANGE(""https://docs.google.com/spreadsheets/d/1MeEWN-I1oV_STSDYn1IFDPWt_1FKiwhDph83XaGc0o0/edit?usp=sharing"",""งบพรบ!CC29"")"),0)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IFERROR(__xludf.DUMMYFUNCTION("IMPORTRANGE(""https://docs.google.com/spreadsheets/d/1QqKyyYR6Q21VydFLVH3TRQUabQu_ym0Zz7PgGX0-kHA/edit?usp=sharing"",""แผน!X29"")"),0)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41115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53.642223032956345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41115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53.642223032956345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41115</v>
      </c>
      <c r="N168" s="466">
        <f t="shared" ca="1" si="88"/>
        <v>22055</v>
      </c>
      <c r="O168" s="466">
        <f t="shared" ca="1" si="85"/>
        <v>100</v>
      </c>
      <c r="P168" s="466">
        <f t="shared" ca="1" si="86"/>
        <v>53.642223032956345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IFERROR(__xludf.DUMMYFUNCTION("IMPORTRANGE(""https://docs.google.com/spreadsheets/d/1MeEWN-I1oV_STSDYn1IFDPWt_1FKiwhDph83XaGc0o0/edit?usp=sharing"",""งบพรบ!CE29"")"),22055)</f>
        <v>22055</v>
      </c>
      <c r="M170" s="93">
        <f ca="1">IFERROR(__xludf.DUMMYFUNCTION("IMPORTRANGE(""https://docs.google.com/spreadsheets/d/1MeEWN-I1oV_STSDYn1IFDPWt_1FKiwhDph83XaGc0o0/edit?usp=sharing"",""งบพรบ!CJ29"")"),41115)</f>
        <v>41115</v>
      </c>
      <c r="N170" s="93">
        <f ca="1">IFERROR(__xludf.DUMMYFUNCTION("IMPORTRANGE(""https://docs.google.com/spreadsheets/d/1MeEWN-I1oV_STSDYn1IFDPWt_1FKiwhDph83XaGc0o0/edit?usp=sharing"",""งบพรบ!CL29"")"),22055)</f>
        <v>22055</v>
      </c>
      <c r="O170" s="93">
        <f t="shared" ca="1" si="85"/>
        <v>100</v>
      </c>
      <c r="P170" s="93">
        <f t="shared" ca="1" si="86"/>
        <v>53.642223032956345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IFERROR(__xludf.DUMMYFUNCTION("IMPORTRANGE(""https://docs.google.com/spreadsheets/d/1MeEWN-I1oV_STSDYn1IFDPWt_1FKiwhDph83XaGc0o0/edit?usp=sharing"",""งบพรบ!CH29"")"),0)</f>
        <v>0</v>
      </c>
      <c r="M173" s="93">
        <f ca="1">IFERROR(__xludf.DUMMYFUNCTION("IMPORTRANGE(""https://docs.google.com/spreadsheets/d/1MeEWN-I1oV_STSDYn1IFDPWt_1FKiwhDph83XaGc0o0/edit?usp=sharing"",""งบพรบ!CK29"")"),0)</f>
        <v>0</v>
      </c>
      <c r="N173" s="93">
        <f ca="1">IFERROR(__xludf.DUMMYFUNCTION("IMPORTRANGE(""https://docs.google.com/spreadsheets/d/1MeEWN-I1oV_STSDYn1IFDPWt_1FKiwhDph83XaGc0o0/edit?usp=sharing"",""งบพรบ!CM29"")"),0)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72500</v>
      </c>
      <c r="M181" s="155">
        <f t="shared" ca="1" si="92"/>
        <v>62500</v>
      </c>
      <c r="N181" s="155">
        <f t="shared" ca="1" si="92"/>
        <v>46925</v>
      </c>
      <c r="O181" s="155">
        <f t="shared" ref="O181:O189" ca="1" si="93">IF(L181&gt;0,N181*100/L181,0)</f>
        <v>64.724137931034477</v>
      </c>
      <c r="P181" s="155">
        <f t="shared" ref="P181:P189" ca="1" si="94">IF(M181&gt;0,N181*100/M181,0)</f>
        <v>75.08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72500</v>
      </c>
      <c r="M183" s="93">
        <f t="shared" ca="1" si="95"/>
        <v>62500</v>
      </c>
      <c r="N183" s="93">
        <f t="shared" ca="1" si="95"/>
        <v>46925</v>
      </c>
      <c r="O183" s="93">
        <f t="shared" ca="1" si="93"/>
        <v>64.724137931034477</v>
      </c>
      <c r="P183" s="93">
        <f t="shared" ca="1" si="94"/>
        <v>75.08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6">L185+L186</f>
        <v>72500</v>
      </c>
      <c r="M184" s="466">
        <f t="shared" ca="1" si="96"/>
        <v>62500</v>
      </c>
      <c r="N184" s="466">
        <f t="shared" ca="1" si="96"/>
        <v>46925</v>
      </c>
      <c r="O184" s="466">
        <f t="shared" ca="1" si="93"/>
        <v>64.724137931034477</v>
      </c>
      <c r="P184" s="466">
        <f t="shared" ca="1" si="94"/>
        <v>75.08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IFERROR(__xludf.DUMMYFUNCTION("IMPORTRANGE(""https://docs.google.com/spreadsheets/d/1MeEWN-I1oV_STSDYn1IFDPWt_1FKiwhDph83XaGc0o0/edit?usp=sharing"",""งบพรบ!CO29"")"),72500)</f>
        <v>72500</v>
      </c>
      <c r="M186" s="93">
        <f ca="1">IFERROR(__xludf.DUMMYFUNCTION("IMPORTRANGE(""https://docs.google.com/spreadsheets/d/1MeEWN-I1oV_STSDYn1IFDPWt_1FKiwhDph83XaGc0o0/edit?usp=sharing"",""งบพรบ!CT29"")"),62500)</f>
        <v>62500</v>
      </c>
      <c r="N186" s="93">
        <f ca="1">IFERROR(__xludf.DUMMYFUNCTION("IMPORTRANGE(""https://docs.google.com/spreadsheets/d/1MeEWN-I1oV_STSDYn1IFDPWt_1FKiwhDph83XaGc0o0/edit?usp=sharing"",""งบพรบ!CV29"")"),46925)</f>
        <v>46925</v>
      </c>
      <c r="O186" s="93">
        <f t="shared" ca="1" si="93"/>
        <v>64.724137931034477</v>
      </c>
      <c r="P186" s="93">
        <f t="shared" ca="1" si="94"/>
        <v>75.08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IFERROR(__xludf.DUMMYFUNCTION("IMPORTRANGE(""https://docs.google.com/spreadsheets/d/1MeEWN-I1oV_STSDYn1IFDPWt_1FKiwhDph83XaGc0o0/edit?usp=sharing"",""งบพรบ!CR29"")"),0)</f>
        <v>0</v>
      </c>
      <c r="M189" s="93">
        <f ca="1">IFERROR(__xludf.DUMMYFUNCTION("IMPORTRANGE(""https://docs.google.com/spreadsheets/d/1MeEWN-I1oV_STSDYn1IFDPWt_1FKiwhDph83XaGc0o0/edit?usp=sharing"",""งบพรบ!CU29"")"),0)</f>
        <v>0</v>
      </c>
      <c r="N189" s="93">
        <f ca="1">IFERROR(__xludf.DUMMYFUNCTION("IMPORTRANGE(""https://docs.google.com/spreadsheets/d/1MeEWN-I1oV_STSDYn1IFDPWt_1FKiwhDph83XaGc0o0/edit?usp=sharing"",""งบพรบ!CW29"")"),0)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IFERROR(__xludf.DUMMYFUNCTION("IMPORTRANGE(""https://docs.google.com/spreadsheets/d/1QqKyyYR6Q21VydFLVH3TRQUabQu_ym0Zz7PgGX0-kHA/edit?usp=sharing"",""แผน!Z29"")"),6000)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IFERROR(__xludf.DUMMYFUNCTION("IMPORTRANGE(""https://docs.google.com/spreadsheets/d/1QqKyyYR6Q21VydFLVH3TRQUabQu_ym0Zz7PgGX0-kHA/edit?usp=sharing"",""แผน!AC29"")"),4)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46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46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33885</v>
      </c>
      <c r="O198" s="155">
        <f ca="1">IF(L198&gt;0,N198*100/L198,0)</f>
        <v>86.884615384615387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IFERROR(__xludf.DUMMYFUNCTION("IMPORTRANGE(""https://docs.google.com/spreadsheets/d/1QqKyyYR6Q21VydFLVH3TRQUabQu_ym0Zz7PgGX0-kHA/edit?usp=sharing"",""แผน!AE29"")"),3000)</f>
        <v>3000</v>
      </c>
      <c r="M199" s="466"/>
      <c r="N199" s="801">
        <v>3000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IFERROR(__xludf.DUMMYFUNCTION("IMPORTRANGE(""https://docs.google.com/spreadsheets/d/1QqKyyYR6Q21VydFLVH3TRQUabQu_ym0Zz7PgGX0-kHA/edit?usp=sharing"",""แผน!AF29"")"),24000)</f>
        <v>24000</v>
      </c>
      <c r="M200" s="466"/>
      <c r="N200" s="801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IFERROR(__xludf.DUMMYFUNCTION("IMPORTRANGE(""https://docs.google.com/spreadsheets/d/1QqKyyYR6Q21VydFLVH3TRQUabQu_ym0Zz7PgGX0-kHA/edit?usp=sharing"",""แผน!AG29"")"),12000)</f>
        <v>12000</v>
      </c>
      <c r="M201" s="466"/>
      <c r="N201" s="801">
        <v>6885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IFERROR(__xludf.DUMMYFUNCTION("IMPORTRANGE(""https://docs.google.com/spreadsheets/d/1QqKyyYR6Q21VydFLVH3TRQUabQu_ym0Zz7PgGX0-kHA/edit?usp=sharing"",""แผน!AH29"")"),0)</f>
        <v>0</v>
      </c>
      <c r="M202" s="466"/>
      <c r="N202" s="801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IFERROR(__xludf.DUMMYFUNCTION("IMPORTRANGE(""https://docs.google.com/spreadsheets/d/1QqKyyYR6Q21VydFLVH3TRQUabQu_ym0Zz7PgGX0-kHA/edit?usp=sharing"",""แผน!AI29"")"),3)</f>
        <v>3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14000</v>
      </c>
      <c r="M209" s="155"/>
      <c r="N209" s="155">
        <f>N210+N211+N212</f>
        <v>13040</v>
      </c>
      <c r="O209" s="155">
        <f ca="1">IF(L209&gt;0,N209*100/L209,0)</f>
        <v>93.142857142857139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IFERROR(__xludf.DUMMYFUNCTION("IMPORTRANGE(""https://docs.google.com/spreadsheets/d/1QqKyyYR6Q21VydFLVH3TRQUabQu_ym0Zz7PgGX0-kHA/edit?usp=sharing"",""แผน!AK29"")"),1000)</f>
        <v>1000</v>
      </c>
      <c r="M210" s="466"/>
      <c r="N210" s="801">
        <v>390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IFERROR(__xludf.DUMMYFUNCTION("IMPORTRANGE(""https://docs.google.com/spreadsheets/d/1QqKyyYR6Q21VydFLVH3TRQUabQu_ym0Zz7PgGX0-kHA/edit?usp=sharing"",""แผน!AL29"")"),5000)</f>
        <v>5000</v>
      </c>
      <c r="M211" s="466"/>
      <c r="N211" s="801">
        <v>4650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IFERROR(__xludf.DUMMYFUNCTION("IMPORTRANGE(""https://docs.google.com/spreadsheets/d/1QqKyyYR6Q21VydFLVH3TRQUabQu_ym0Zz7PgGX0-kHA/edit?usp=sharing"",""แผน!AM29"")"),8000)</f>
        <v>8000</v>
      </c>
      <c r="M212" s="466"/>
      <c r="N212" s="801">
        <v>8000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IFERROR(__xludf.DUMMYFUNCTION("IMPORTRANGE(""https://docs.google.com/spreadsheets/d/1QqKyyYR6Q21VydFLVH3TRQUabQu_ym0Zz7PgGX0-kHA/edit?usp=sharing"",""แผน!AN29"")"),1)</f>
        <v>1</v>
      </c>
      <c r="J214" s="215">
        <v>1</v>
      </c>
      <c r="K214" s="466">
        <f t="shared" ref="K214:K216" ca="1" si="102">IF(I214&gt;0,J214*100/I214,0)</f>
        <v>100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IFERROR(__xludf.DUMMYFUNCTION("IMPORTRANGE(""https://docs.google.com/spreadsheets/d/1QqKyyYR6Q21VydFLVH3TRQUabQu_ym0Zz7PgGX0-kHA/edit?usp=sharing"",""แผน!AN29"")"),1)</f>
        <v>1</v>
      </c>
      <c r="J215" s="215">
        <v>1</v>
      </c>
      <c r="K215" s="466">
        <f t="shared" ca="1" si="102"/>
        <v>100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IFERROR(__xludf.DUMMYFUNCTION("IMPORTRANGE(""https://docs.google.com/spreadsheets/d/1QqKyyYR6Q21VydFLVH3TRQUabQu_ym0Zz7PgGX0-kHA/edit?usp=sharing"",""แผน!AP29"")"),5000)</f>
        <v>5000</v>
      </c>
      <c r="M218" s="466"/>
      <c r="N218" s="801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IFERROR(__xludf.DUMMYFUNCTION("IMPORTRANGE(""https://docs.google.com/spreadsheets/d/1QqKyyYR6Q21VydFLVH3TRQUabQu_ym0Zz7PgGX0-kHA/edit?usp=sharing"",""แผน!AQ29"")"),8500)</f>
        <v>8500</v>
      </c>
      <c r="M219" s="466"/>
      <c r="N219" s="801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IFERROR(__xludf.DUMMYFUNCTION("IMPORTRANGE(""https://docs.google.com/spreadsheets/d/1QqKyyYR6Q21VydFLVH3TRQUabQu_ym0Zz7PgGX0-kHA/edit?usp=sharing"",""แผน!AR29"")"),0)</f>
        <v>0</v>
      </c>
      <c r="M220" s="466"/>
      <c r="N220" s="801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IFERROR(__xludf.DUMMYFUNCTION("IMPORTRANGE(""https://docs.google.com/spreadsheets/d/1QqKyyYR6Q21VydFLVH3TRQUabQu_ym0Zz7PgGX0-kHA/edit?usp=sharing"",""แผน!AT29"")"),30000)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IFERROR(__xludf.DUMMYFUNCTION("IMPORTRANGE(""https://docs.google.com/spreadsheets/d/1QqKyyYR6Q21VydFLVH3TRQUabQu_ym0Zz7PgGX0-kHA/edit?usp=sharing"",""แผน!AT29"")"),30000)</f>
        <v>30000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IFERROR(__xludf.DUMMYFUNCTION("IMPORTRANGE(""https://docs.google.com/spreadsheets/d/1QqKyyYR6Q21VydFLVH3TRQUabQu_ym0Zz7PgGX0-kHA/edit?usp=sharing"",""แผน!AS29"")"),0)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5">I237+I248</f>
        <v>0</v>
      </c>
      <c r="J226" s="821">
        <f t="shared" si="105"/>
        <v>0</v>
      </c>
      <c r="K226" s="82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6">L238+L249</f>
        <v>0</v>
      </c>
      <c r="M227" s="831"/>
      <c r="N227" s="831">
        <f t="shared" ref="N227:N231" si="107">N238+N249</f>
        <v>0</v>
      </c>
      <c r="O227" s="832"/>
      <c r="P227" s="83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35"/>
      <c r="R229" s="835"/>
      <c r="S229" s="835"/>
      <c r="T229" s="835"/>
      <c r="U229" s="835"/>
      <c r="V229" s="835"/>
      <c r="W229" s="835"/>
      <c r="X229" s="835"/>
      <c r="Y229" s="835"/>
      <c r="Z229" s="835"/>
    </row>
    <row r="230" spans="1:2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35"/>
      <c r="R230" s="835"/>
      <c r="S230" s="835"/>
      <c r="T230" s="835"/>
      <c r="U230" s="835"/>
      <c r="V230" s="835"/>
      <c r="W230" s="835"/>
      <c r="X230" s="835"/>
      <c r="Y230" s="835"/>
      <c r="Z230" s="835"/>
    </row>
    <row r="231" spans="1:2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35"/>
      <c r="R231" s="835"/>
      <c r="S231" s="835"/>
      <c r="T231" s="835"/>
      <c r="U231" s="835"/>
      <c r="V231" s="835"/>
      <c r="W231" s="835"/>
      <c r="X231" s="835"/>
      <c r="Y231" s="835"/>
      <c r="Z231" s="835"/>
    </row>
    <row r="232" spans="1:2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IFERROR(__xludf.DUMMYFUNCTION("IMPORTRANGE(""https://docs.google.com/spreadsheets/d/1QqKyyYR6Q21VydFLVH3TRQUabQu_ym0Zz7PgGX0-kHA/edit?usp=sharing"",""แผน!AV29"")"),0)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IFERROR(__xludf.DUMMYFUNCTION("IMPORTRANGE(""https://docs.google.com/spreadsheets/d/1QqKyyYR6Q21VydFLVH3TRQUabQu_ym0Zz7PgGX0-kHA/edit?usp=sharing"",""แผน!AW29"")"),0)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IFERROR(__xludf.DUMMYFUNCTION("IMPORTRANGE(""https://docs.google.com/spreadsheets/d/1QqKyyYR6Q21VydFLVH3TRQUabQu_ym0Zz7PgGX0-kHA/edit?usp=sharing"",""แผน!AX29"")"),0)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IFERROR(__xludf.DUMMYFUNCTION("IMPORTRANGE(""https://docs.google.com/spreadsheets/d/1QqKyyYR6Q21VydFLVH3TRQUabQu_ym0Zz7PgGX0-kHA/edit?usp=sharing"",""แผน!AY29"")"),0)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IFERROR(__xludf.DUMMYFUNCTION("IMPORTRANGE(""https://docs.google.com/spreadsheets/d/1QqKyyYR6Q21VydFLVH3TRQUabQu_ym0Zz7PgGX0-kHA/edit?usp=sharing"",""แผน!BE29"")"),0)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IFERROR(__xludf.DUMMYFUNCTION("IMPORTRANGE(""https://docs.google.com/spreadsheets/d/1QqKyyYR6Q21VydFLVH3TRQUabQu_ym0Zz7PgGX0-kHA/edit?usp=sharing"",""แผน!AZ29"")"),0)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IFERROR(__xludf.DUMMYFUNCTION("IMPORTRANGE(""https://docs.google.com/spreadsheets/d/1QqKyyYR6Q21VydFLVH3TRQUabQu_ym0Zz7PgGX0-kHA/edit?usp=sharing"",""แผน!BA29"")"),0)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IFERROR(__xludf.DUMMYFUNCTION("IMPORTRANGE(""https://docs.google.com/spreadsheets/d/1QqKyyYR6Q21VydFLVH3TRQUabQu_ym0Zz7PgGX0-kHA/edit?usp=sharing"",""แผน!BB29"")"),0)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IFERROR(__xludf.DUMMYFUNCTION("IMPORTRANGE(""https://docs.google.com/spreadsheets/d/1QqKyyYR6Q21VydFLVH3TRQUabQu_ym0Zz7PgGX0-kHA/edit?usp=sharing"",""แผน!BC29"")"),0)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IFERROR(__xludf.DUMMYFUNCTION("IMPORTRANGE(""https://docs.google.com/spreadsheets/d/1QqKyyYR6Q21VydFLVH3TRQUabQu_ym0Zz7PgGX0-kHA/edit?usp=sharing"",""แผน!BF29"")"),0)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169900</v>
      </c>
      <c r="M261" s="155">
        <f t="shared" ca="1" si="116"/>
        <v>127900</v>
      </c>
      <c r="N261" s="155">
        <f t="shared" ca="1" si="116"/>
        <v>73551</v>
      </c>
      <c r="O261" s="155">
        <f t="shared" ref="O261:O269" ca="1" si="117">IF(L261&gt;0,N261*100/L261,0)</f>
        <v>43.290759270158915</v>
      </c>
      <c r="P261" s="155">
        <f t="shared" ref="P261:P269" ca="1" si="118">IF(M261&gt;0,N261*100/M261,0)</f>
        <v>57.506645817044564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169900</v>
      </c>
      <c r="M263" s="93">
        <f t="shared" ca="1" si="119"/>
        <v>127900</v>
      </c>
      <c r="N263" s="93">
        <f t="shared" ca="1" si="119"/>
        <v>73551</v>
      </c>
      <c r="O263" s="93">
        <f t="shared" ca="1" si="117"/>
        <v>43.290759270158915</v>
      </c>
      <c r="P263" s="93">
        <f t="shared" ca="1" si="118"/>
        <v>57.506645817044564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0">L265+L266</f>
        <v>169900</v>
      </c>
      <c r="M264" s="466">
        <f t="shared" ca="1" si="120"/>
        <v>127900</v>
      </c>
      <c r="N264" s="466">
        <f t="shared" ca="1" si="120"/>
        <v>73551</v>
      </c>
      <c r="O264" s="466">
        <f t="shared" ca="1" si="117"/>
        <v>43.290759270158915</v>
      </c>
      <c r="P264" s="466">
        <f t="shared" ca="1" si="118"/>
        <v>57.506645817044564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IFERROR(__xludf.DUMMYFUNCTION("IMPORTRANGE(""https://docs.google.com/spreadsheets/d/1MeEWN-I1oV_STSDYn1IFDPWt_1FKiwhDph83XaGc0o0/edit?usp=sharing"",""งบพรบ!CY29"")"),169900)</f>
        <v>169900</v>
      </c>
      <c r="M266" s="93">
        <f ca="1">IFERROR(__xludf.DUMMYFUNCTION("IMPORTRANGE(""https://docs.google.com/spreadsheets/d/1MeEWN-I1oV_STSDYn1IFDPWt_1FKiwhDph83XaGc0o0/edit?usp=sharing"",""งบพรบ!DD29"")"),127900)</f>
        <v>127900</v>
      </c>
      <c r="N266" s="93">
        <f ca="1">IFERROR(__xludf.DUMMYFUNCTION("IMPORTRANGE(""https://docs.google.com/spreadsheets/d/1MeEWN-I1oV_STSDYn1IFDPWt_1FKiwhDph83XaGc0o0/edit?usp=sharing"",""งบพรบ!DF29"")"),73551)</f>
        <v>73551</v>
      </c>
      <c r="O266" s="93">
        <f t="shared" ca="1" si="117"/>
        <v>43.290759270158915</v>
      </c>
      <c r="P266" s="93">
        <f t="shared" ca="1" si="118"/>
        <v>57.506645817044564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IFERROR(__xludf.DUMMYFUNCTION("IMPORTRANGE(""https://docs.google.com/spreadsheets/d/1MeEWN-I1oV_STSDYn1IFDPWt_1FKiwhDph83XaGc0o0/edit?usp=sharing"",""งบพรบ!DB29"")"),0)</f>
        <v>0</v>
      </c>
      <c r="M269" s="93">
        <f ca="1">IFERROR(__xludf.DUMMYFUNCTION("IMPORTRANGE(""https://docs.google.com/spreadsheets/d/1MeEWN-I1oV_STSDYn1IFDPWt_1FKiwhDph83XaGc0o0/edit?usp=sharing"",""งบพรบ!DE29"")"),0)</f>
        <v>0</v>
      </c>
      <c r="N269" s="93">
        <f ca="1">IFERROR(__xludf.DUMMYFUNCTION("IMPORTRANGE(""https://docs.google.com/spreadsheets/d/1MeEWN-I1oV_STSDYn1IFDPWt_1FKiwhDph83XaGc0o0/edit?usp=sharing"",""งบพรบ!DG29"")"),0)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25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250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4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262220</v>
      </c>
      <c r="M277" s="155">
        <f t="shared" ca="1" si="125"/>
        <v>172520</v>
      </c>
      <c r="N277" s="155">
        <f t="shared" ca="1" si="125"/>
        <v>131741.70000000001</v>
      </c>
      <c r="O277" s="155">
        <f t="shared" ref="O277:O285" ca="1" si="126">IF(L277&gt;0,N277*100/L277,0)</f>
        <v>50.240904583937159</v>
      </c>
      <c r="P277" s="155">
        <f t="shared" ref="P277:P285" ca="1" si="127">IF(M277&gt;0,N277*100/M277,0)</f>
        <v>76.363146301878061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262220</v>
      </c>
      <c r="M279" s="93">
        <f t="shared" ca="1" si="128"/>
        <v>172520</v>
      </c>
      <c r="N279" s="93">
        <f t="shared" ca="1" si="128"/>
        <v>131741.70000000001</v>
      </c>
      <c r="O279" s="93">
        <f t="shared" ca="1" si="126"/>
        <v>50.240904583937159</v>
      </c>
      <c r="P279" s="93">
        <f t="shared" ca="1" si="127"/>
        <v>76.363146301878061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29">L281+L282</f>
        <v>262220</v>
      </c>
      <c r="M280" s="466">
        <f t="shared" ca="1" si="129"/>
        <v>172520</v>
      </c>
      <c r="N280" s="466">
        <f t="shared" ca="1" si="129"/>
        <v>131741.70000000001</v>
      </c>
      <c r="O280" s="466">
        <f t="shared" ca="1" si="126"/>
        <v>50.240904583937159</v>
      </c>
      <c r="P280" s="466">
        <f t="shared" ca="1" si="127"/>
        <v>76.363146301878061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IFERROR(__xludf.DUMMYFUNCTION("IMPORTRANGE(""https://docs.google.com/spreadsheets/d/1MeEWN-I1oV_STSDYn1IFDPWt_1FKiwhDph83XaGc0o0/edit?usp=sharing"",""งบพรบ!DI29"")"),262220)</f>
        <v>262220</v>
      </c>
      <c r="M282" s="93">
        <f ca="1">IFERROR(__xludf.DUMMYFUNCTION("IMPORTRANGE(""https://docs.google.com/spreadsheets/d/1MeEWN-I1oV_STSDYn1IFDPWt_1FKiwhDph83XaGc0o0/edit?usp=sharing"",""งบพรบ!DN29"")"),172520)</f>
        <v>172520</v>
      </c>
      <c r="N282" s="93">
        <f ca="1">IFERROR(__xludf.DUMMYFUNCTION("IMPORTRANGE(""https://docs.google.com/spreadsheets/d/1MeEWN-I1oV_STSDYn1IFDPWt_1FKiwhDph83XaGc0o0/edit?usp=sharing"",""งบพรบ!DP29"")"),131741.7)</f>
        <v>131741.70000000001</v>
      </c>
      <c r="O282" s="93">
        <f t="shared" ca="1" si="126"/>
        <v>50.240904583937159</v>
      </c>
      <c r="P282" s="93">
        <f t="shared" ca="1" si="127"/>
        <v>76.363146301878061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IFERROR(__xludf.DUMMYFUNCTION("IMPORTRANGE(""https://docs.google.com/spreadsheets/d/1MeEWN-I1oV_STSDYn1IFDPWt_1FKiwhDph83XaGc0o0/edit?usp=sharing"",""งบพรบ!DL29"")"),0)</f>
        <v>0</v>
      </c>
      <c r="M285" s="93">
        <f ca="1">IFERROR(__xludf.DUMMYFUNCTION("IMPORTRANGE(""https://docs.google.com/spreadsheets/d/1MeEWN-I1oV_STSDYn1IFDPWt_1FKiwhDph83XaGc0o0/edit?usp=sharing"",""งบพรบ!DO29"")"),0)</f>
        <v>0</v>
      </c>
      <c r="N285" s="93">
        <f ca="1">IFERROR(__xludf.DUMMYFUNCTION("IMPORTRANGE(""https://docs.google.com/spreadsheets/d/1MeEWN-I1oV_STSDYn1IFDPWt_1FKiwhDph83XaGc0o0/edit?usp=sharing"",""งบพรบ!DQ29"")"),0)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IFERROR(__xludf.DUMMYFUNCTION("IMPORTRANGE(""https://docs.google.com/spreadsheets/d/1QqKyyYR6Q21VydFLVH3TRQUabQu_ym0Zz7PgGX0-kHA/edit?usp=sharing"",""แผน!EC29"")"),250)</f>
        <v>250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IFERROR(__xludf.DUMMYFUNCTION("IMPORTRANGE(""https://docs.google.com/spreadsheets/d/1QqKyyYR6Q21VydFLVH3TRQUabQu_ym0Zz7PgGX0-kHA/edit?usp=sharing"",""แผน!EB29"")"),25)</f>
        <v>25</v>
      </c>
      <c r="J288" s="648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IFERROR(__xludf.DUMMYFUNCTION("IMPORTRANGE(""https://docs.google.com/spreadsheets/d/1QqKyyYR6Q21VydFLVH3TRQUabQu_ym0Zz7PgGX0-kHA/edit?usp=sharing"",""แผน!EB29"")"),25)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IFERROR(__xludf.DUMMYFUNCTION("IMPORTRANGE(""https://docs.google.com/spreadsheets/d/1QqKyyYR6Q21VydFLVH3TRQUabQu_ym0Zz7PgGX0-kHA/edit?usp=sharing"",""แผน!EB29"")"),25)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IFERROR(__xludf.DUMMYFUNCTION("IMPORTRANGE(""https://docs.google.com/spreadsheets/d/1QqKyyYR6Q21VydFLVH3TRQUabQu_ym0Zz7PgGX0-kHA/edit?usp=sharing"",""แผน!EB29"")"),25)</f>
        <v>25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1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IFERROR(__xludf.DUMMYFUNCTION("IMPORTRANGE(""https://docs.google.com/spreadsheets/d/1QqKyyYR6Q21VydFLVH3TRQUabQu_ym0Zz7PgGX0-kHA/edit?usp=sharing"",""แผน!EB29"")"),25)</f>
        <v>25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4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7603.55</v>
      </c>
      <c r="O298" s="155">
        <f t="shared" ref="O298:O306" ca="1" si="136">IF(L298&gt;0,N298*100/L298,0)</f>
        <v>9.2276092233009717</v>
      </c>
      <c r="P298" s="155">
        <f t="shared" ref="P298:P306" ca="1" si="137">IF(M298&gt;0,N298*100/M298,0)</f>
        <v>11.806754658385094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7603.55</v>
      </c>
      <c r="O300" s="93">
        <f t="shared" ca="1" si="136"/>
        <v>9.2276092233009717</v>
      </c>
      <c r="P300" s="93">
        <f t="shared" ca="1" si="137"/>
        <v>11.806754658385094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64400</v>
      </c>
      <c r="N301" s="466">
        <f t="shared" ca="1" si="139"/>
        <v>7603.55</v>
      </c>
      <c r="O301" s="466">
        <f t="shared" ca="1" si="136"/>
        <v>9.2276092233009717</v>
      </c>
      <c r="P301" s="466">
        <f t="shared" ca="1" si="137"/>
        <v>11.806754658385094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IFERROR(__xludf.DUMMYFUNCTION("IMPORTRANGE(""https://docs.google.com/spreadsheets/d/1MeEWN-I1oV_STSDYn1IFDPWt_1FKiwhDph83XaGc0o0/edit?usp=sharing"",""งบพรบ!DS29"")"),82400)</f>
        <v>82400</v>
      </c>
      <c r="M303" s="93">
        <f ca="1">IFERROR(__xludf.DUMMYFUNCTION("IMPORTRANGE(""https://docs.google.com/spreadsheets/d/1MeEWN-I1oV_STSDYn1IFDPWt_1FKiwhDph83XaGc0o0/edit?usp=sharing"",""งบพรบ!DX29"")"),64400)</f>
        <v>64400</v>
      </c>
      <c r="N303" s="93">
        <f ca="1">IFERROR(__xludf.DUMMYFUNCTION("IMPORTRANGE(""https://docs.google.com/spreadsheets/d/1MeEWN-I1oV_STSDYn1IFDPWt_1FKiwhDph83XaGc0o0/edit?usp=sharing"",""งบพรบ!DZ29"")"),7603.55)</f>
        <v>7603.55</v>
      </c>
      <c r="O303" s="93">
        <f t="shared" ca="1" si="136"/>
        <v>9.2276092233009717</v>
      </c>
      <c r="P303" s="93">
        <f t="shared" ca="1" si="137"/>
        <v>11.806754658385094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IFERROR(__xludf.DUMMYFUNCTION("IMPORTRANGE(""https://docs.google.com/spreadsheets/d/1MeEWN-I1oV_STSDYn1IFDPWt_1FKiwhDph83XaGc0o0/edit?usp=sharing"",""งบพรบ!DV29"")"),0)</f>
        <v>0</v>
      </c>
      <c r="M306" s="93">
        <f ca="1">IFERROR(__xludf.DUMMYFUNCTION("IMPORTRANGE(""https://docs.google.com/spreadsheets/d/1MeEWN-I1oV_STSDYn1IFDPWt_1FKiwhDph83XaGc0o0/edit?usp=sharing"",""งบพรบ!DY29"")"),0)</f>
        <v>0</v>
      </c>
      <c r="N306" s="93">
        <f ca="1">IFERROR(__xludf.DUMMYFUNCTION("IMPORTRANGE(""https://docs.google.com/spreadsheets/d/1MeEWN-I1oV_STSDYn1IFDPWt_1FKiwhDph83XaGc0o0/edit?usp=sharing"",""งบพรบ!EA29"")"),0)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IFERROR(__xludf.DUMMYFUNCTION("IMPORTRANGE(""https://docs.google.com/spreadsheets/d/1QqKyyYR6Q21VydFLVH3TRQUabQu_ym0Zz7PgGX0-kHA/edit?usp=sharing"",""แผน!ED29"")"),20)</f>
        <v>20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IFERROR(__xludf.DUMMYFUNCTION("IMPORTRANGE(""https://docs.google.com/spreadsheets/d/1QqKyyYR6Q21VydFLVH3TRQUabQu_ym0Zz7PgGX0-kHA/edit?usp=sharing"",""แผน!ED29"")"),20)</f>
        <v>20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IFERROR(__xludf.DUMMYFUNCTION("IMPORTRANGE(""https://docs.google.com/spreadsheets/d/1QqKyyYR6Q21VydFLVH3TRQUabQu_ym0Zz7PgGX0-kHA/edit?usp=sharing"",""แผน!ED29"")"),20)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IFERROR(__xludf.DUMMYFUNCTION("IMPORTRANGE(""https://docs.google.com/spreadsheets/d/1QqKyyYR6Q21VydFLVH3TRQUabQu_ym0Zz7PgGX0-kHA/edit?usp=sharing"",""แผน!EE29"")"),4)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4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IFERROR(__xludf.DUMMYFUNCTION("IMPORTRANGE(""https://docs.google.com/spreadsheets/d/1MeEWN-I1oV_STSDYn1IFDPWt_1FKiwhDph83XaGc0o0/edit?usp=sharing"",""งบพรบ!EC29"")"),0)</f>
        <v>0</v>
      </c>
      <c r="M320" s="93">
        <f ca="1">IFERROR(__xludf.DUMMYFUNCTION("IMPORTRANGE(""https://docs.google.com/spreadsheets/d/1MeEWN-I1oV_STSDYn1IFDPWt_1FKiwhDph83XaGc0o0/edit?usp=sharing"",""งบพรบ!EH29"")"),0)</f>
        <v>0</v>
      </c>
      <c r="N320" s="93">
        <f ca="1">IFERROR(__xludf.DUMMYFUNCTION("IMPORTRANGE(""https://docs.google.com/spreadsheets/d/1MeEWN-I1oV_STSDYn1IFDPWt_1FKiwhDph83XaGc0o0/edit?usp=sharing"",""งบพรบ!EJ29"")"),0)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IFERROR(__xludf.DUMMYFUNCTION("IMPORTRANGE(""https://docs.google.com/spreadsheets/d/1MeEWN-I1oV_STSDYn1IFDPWt_1FKiwhDph83XaGc0o0/edit?usp=sharing"",""งบพรบ!EF29"")"),0)</f>
        <v>0</v>
      </c>
      <c r="M323" s="93">
        <f ca="1">IFERROR(__xludf.DUMMYFUNCTION("IMPORTRANGE(""https://docs.google.com/spreadsheets/d/1MeEWN-I1oV_STSDYn1IFDPWt_1FKiwhDph83XaGc0o0/edit?usp=sharing"",""งบพรบ!EI29"")"),0)</f>
        <v>0</v>
      </c>
      <c r="N323" s="93">
        <f ca="1">IFERROR(__xludf.DUMMYFUNCTION("IMPORTRANGE(""https://docs.google.com/spreadsheets/d/1MeEWN-I1oV_STSDYn1IFDPWt_1FKiwhDph83XaGc0o0/edit?usp=sharing"",""งบพรบ!EK29"")"),0)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IFERROR(__xludf.DUMMYFUNCTION("IMPORTRANGE(""https://docs.google.com/spreadsheets/d/1QqKyyYR6Q21VydFLVH3TRQUabQu_ym0Zz7PgGX0-kHA/edit?usp=sharing"",""แผน!EF29"")"),0)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IFERROR(__xludf.DUMMYFUNCTION("IMPORTRANGE(""https://docs.google.com/spreadsheets/d/1QqKyyYR6Q21VydFLVH3TRQUabQu_ym0Zz7PgGX0-kHA/edit?usp=sharing"",""แผน!EG29"")"),1800)</f>
        <v>1800</v>
      </c>
      <c r="J327" s="413">
        <f ca="1">J338+J341+J342+J343</f>
        <v>1812</v>
      </c>
      <c r="K327" s="414">
        <f ca="1">IF(I327&gt;0,J327*100/I327,0)</f>
        <v>100.66666666666667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4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175000</v>
      </c>
      <c r="M328" s="155">
        <f t="shared" ca="1" si="149"/>
        <v>131250</v>
      </c>
      <c r="N328" s="155">
        <f t="shared" ca="1" si="149"/>
        <v>69426</v>
      </c>
      <c r="O328" s="155">
        <f t="shared" ref="O328:O336" ca="1" si="150">IF(L328&gt;0,N328*100/L328,0)</f>
        <v>39.671999999999997</v>
      </c>
      <c r="P328" s="155">
        <f t="shared" ref="P328:P336" ca="1" si="151">IF(M328&gt;0,N328*100/M328,0)</f>
        <v>52.896000000000001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175000</v>
      </c>
      <c r="M330" s="93">
        <f t="shared" ca="1" si="152"/>
        <v>131250</v>
      </c>
      <c r="N330" s="93">
        <f t="shared" ca="1" si="152"/>
        <v>69426</v>
      </c>
      <c r="O330" s="93">
        <f t="shared" ca="1" si="150"/>
        <v>39.671999999999997</v>
      </c>
      <c r="P330" s="93">
        <f t="shared" ca="1" si="151"/>
        <v>52.896000000000001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3">L332+L333</f>
        <v>175000</v>
      </c>
      <c r="M331" s="466">
        <f t="shared" ca="1" si="153"/>
        <v>131250</v>
      </c>
      <c r="N331" s="466">
        <f t="shared" ca="1" si="153"/>
        <v>69426</v>
      </c>
      <c r="O331" s="466">
        <f t="shared" ca="1" si="150"/>
        <v>39.671999999999997</v>
      </c>
      <c r="P331" s="466">
        <f t="shared" ca="1" si="151"/>
        <v>52.896000000000001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IFERROR(__xludf.DUMMYFUNCTION("IMPORTRANGE(""https://docs.google.com/spreadsheets/d/1MeEWN-I1oV_STSDYn1IFDPWt_1FKiwhDph83XaGc0o0/edit?usp=sharing"",""งบพรบ!EM29"")"),175000)</f>
        <v>175000</v>
      </c>
      <c r="M333" s="93">
        <f ca="1">IFERROR(__xludf.DUMMYFUNCTION("IMPORTRANGE(""https://docs.google.com/spreadsheets/d/1MeEWN-I1oV_STSDYn1IFDPWt_1FKiwhDph83XaGc0o0/edit?usp=sharing"",""งบพรบ!ER29"")"),131250)</f>
        <v>131250</v>
      </c>
      <c r="N333" s="93">
        <f ca="1">IFERROR(__xludf.DUMMYFUNCTION("IMPORTRANGE(""https://docs.google.com/spreadsheets/d/1MeEWN-I1oV_STSDYn1IFDPWt_1FKiwhDph83XaGc0o0/edit?usp=sharing"",""งบพรบ!ET29"")"),69426)</f>
        <v>69426</v>
      </c>
      <c r="O333" s="93">
        <f t="shared" ca="1" si="150"/>
        <v>39.671999999999997</v>
      </c>
      <c r="P333" s="93">
        <f t="shared" ca="1" si="151"/>
        <v>52.896000000000001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IFERROR(__xludf.DUMMYFUNCTION("IMPORTRANGE(""https://docs.google.com/spreadsheets/d/1MeEWN-I1oV_STSDYn1IFDPWt_1FKiwhDph83XaGc0o0/edit?usp=sharing"",""งบพรบ!EP29"")"),0)</f>
        <v>0</v>
      </c>
      <c r="M336" s="93">
        <f ca="1">IFERROR(__xludf.DUMMYFUNCTION("IMPORTRANGE(""https://docs.google.com/spreadsheets/d/1MeEWN-I1oV_STSDYn1IFDPWt_1FKiwhDph83XaGc0o0/edit?usp=sharing"",""งบพรบ!ES29"")"),0)</f>
        <v>0</v>
      </c>
      <c r="N336" s="93">
        <f ca="1">IFERROR(__xludf.DUMMYFUNCTION("IMPORTRANGE(""https://docs.google.com/spreadsheets/d/1MeEWN-I1oV_STSDYn1IFDPWt_1FKiwhDph83XaGc0o0/edit?usp=sharing"",""งบพรบ!EU29"")"),0)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IFERROR(__xludf.DUMMYFUNCTION("IMPORTRANGE(""https://docs.google.com/spreadsheets/d/1QqKyyYR6Q21VydFLVH3TRQUabQu_ym0Zz7PgGX0-kHA/edit?usp=sharing"",""แผน!EG29"")"),1800)</f>
        <v>1800</v>
      </c>
      <c r="J338" s="270">
        <f ca="1">IFERROR(__xludf.DUMMYFUNCTION("IMPORTRANGE(""https://docs.google.com/spreadsheets/d/1kVcqe37tkHyjCSG3S0O1AXqVkqjo8mSIZil3BcpIysc/edit?usp=sharing"",""ศูนย์!D29"")"),1282)</f>
        <v>1282</v>
      </c>
      <c r="K338" s="466">
        <f ca="1">IF(I338&gt;0,J338*100/I338,0)</f>
        <v>71.222222222222229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IFERROR(__xludf.DUMMYFUNCTION("IMPORTRANGE(""https://docs.google.com/spreadsheets/d/1QqKyyYR6Q21VydFLVH3TRQUabQu_ym0Zz7PgGX0-kHA/edit?usp=sharing"",""แผน!EH29"")"),6)</f>
        <v>6</v>
      </c>
      <c r="J340" s="270">
        <f ca="1">IFERROR(__xludf.DUMMYFUNCTION("IMPORTRANGE(""https://docs.google.com/spreadsheets/d/1kVcqe37tkHyjCSG3S0O1AXqVkqjo8mSIZil3BcpIysc/edit?usp=sharing"",""ศูนย์!E29"")"),3)</f>
        <v>3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IFERROR(__xludf.DUMMYFUNCTION("IMPORTRANGE(""https://docs.google.com/spreadsheets/d/1kVcqe37tkHyjCSG3S0O1AXqVkqjo8mSIZil3BcpIysc/edit?usp=sharing"",""ศูนย์!F29"")"),190)</f>
        <v>190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IFERROR(__xludf.DUMMYFUNCTION("IMPORTRANGE(""https://docs.google.com/spreadsheets/d/1kVcqe37tkHyjCSG3S0O1AXqVkqjo8mSIZil3BcpIysc/edit?usp=sharing"",""ศูนย์!G29"")"),2)</f>
        <v>2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IFERROR(__xludf.DUMMYFUNCTION("IMPORTRANGE(""https://docs.google.com/spreadsheets/d/1kVcqe37tkHyjCSG3S0O1AXqVkqjo8mSIZil3BcpIysc/edit?usp=sharing"",""ศูนย์!H29"")"),338)</f>
        <v>338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4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959100</v>
      </c>
      <c r="M345" s="155">
        <f t="shared" ca="1" si="155"/>
        <v>701650</v>
      </c>
      <c r="N345" s="155">
        <f t="shared" ca="1" si="155"/>
        <v>398095.5</v>
      </c>
      <c r="O345" s="155">
        <f t="shared" ref="O345:O353" ca="1" si="156">IF(L345&gt;0,N345*100/L345,0)</f>
        <v>41.507194244604314</v>
      </c>
      <c r="P345" s="155">
        <f t="shared" ref="P345:P353" ca="1" si="157">IF(M345&gt;0,N345*100/M345,0)</f>
        <v>56.737048385947411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959100</v>
      </c>
      <c r="M347" s="93">
        <f t="shared" ca="1" si="158"/>
        <v>701650</v>
      </c>
      <c r="N347" s="93">
        <f t="shared" ca="1" si="158"/>
        <v>398095.5</v>
      </c>
      <c r="O347" s="93">
        <f t="shared" ca="1" si="156"/>
        <v>41.507194244604314</v>
      </c>
      <c r="P347" s="93">
        <f t="shared" ca="1" si="157"/>
        <v>56.737048385947411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59">L349+L350</f>
        <v>890300</v>
      </c>
      <c r="M348" s="466">
        <f t="shared" ca="1" si="159"/>
        <v>633350</v>
      </c>
      <c r="N348" s="466">
        <f t="shared" ca="1" si="159"/>
        <v>329795.5</v>
      </c>
      <c r="O348" s="466">
        <f t="shared" ca="1" si="156"/>
        <v>37.043187689542847</v>
      </c>
      <c r="P348" s="466">
        <f t="shared" ca="1" si="157"/>
        <v>52.071603378858448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IFERROR(__xludf.DUMMYFUNCTION("IMPORTRANGE(""https://docs.google.com/spreadsheets/d/1MeEWN-I1oV_STSDYn1IFDPWt_1FKiwhDph83XaGc0o0/edit?usp=sharing"",""งบพรบ!EW29"")"),890300)</f>
        <v>890300</v>
      </c>
      <c r="M350" s="93">
        <f ca="1">IFERROR(__xludf.DUMMYFUNCTION("IMPORTRANGE(""https://docs.google.com/spreadsheets/d/1MeEWN-I1oV_STSDYn1IFDPWt_1FKiwhDph83XaGc0o0/edit?usp=sharing"",""งบพรบ!FB29"")"),633350)</f>
        <v>633350</v>
      </c>
      <c r="N350" s="93">
        <f ca="1">IFERROR(__xludf.DUMMYFUNCTION("IMPORTRANGE(""https://docs.google.com/spreadsheets/d/1MeEWN-I1oV_STSDYn1IFDPWt_1FKiwhDph83XaGc0o0/edit?usp=sharing"",""งบพรบ!FD29"")"),329795.5)</f>
        <v>329795.5</v>
      </c>
      <c r="O350" s="93">
        <f t="shared" ca="1" si="156"/>
        <v>37.043187689542847</v>
      </c>
      <c r="P350" s="93">
        <f t="shared" ca="1" si="157"/>
        <v>52.071603378858448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68800</v>
      </c>
      <c r="M351" s="466">
        <f t="shared" ca="1" si="160"/>
        <v>68300</v>
      </c>
      <c r="N351" s="466">
        <f t="shared" ca="1" si="160"/>
        <v>68300</v>
      </c>
      <c r="O351" s="466">
        <f t="shared" ca="1" si="156"/>
        <v>99.273255813953483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IFERROR(__xludf.DUMMYFUNCTION("IMPORTRANGE(""https://docs.google.com/spreadsheets/d/1MeEWN-I1oV_STSDYn1IFDPWt_1FKiwhDph83XaGc0o0/edit?usp=sharing"",""งบพรบ!EZ29"")"),68800)</f>
        <v>68800</v>
      </c>
      <c r="M353" s="93">
        <f ca="1">IFERROR(__xludf.DUMMYFUNCTION("IMPORTRANGE(""https://docs.google.com/spreadsheets/d/1MeEWN-I1oV_STSDYn1IFDPWt_1FKiwhDph83XaGc0o0/edit?usp=sharing"",""งบพรบ!FC29"")"),68300)</f>
        <v>68300</v>
      </c>
      <c r="N353" s="93">
        <f ca="1">IFERROR(__xludf.DUMMYFUNCTION("IMPORTRANGE(""https://docs.google.com/spreadsheets/d/1MeEWN-I1oV_STSDYn1IFDPWt_1FKiwhDph83XaGc0o0/edit?usp=sharing"",""งบพรบ!FE29"")"),68300)</f>
        <v>68300</v>
      </c>
      <c r="O353" s="93">
        <f t="shared" ca="1" si="156"/>
        <v>99.273255813953483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IFERROR(__xludf.DUMMYFUNCTION("IMPORTRANGE(""https://docs.google.com/spreadsheets/d/1QqKyyYR6Q21VydFLVH3TRQUabQu_ym0Zz7PgGX0-kHA/edit?usp=sharing"",""แผน!EP29"")"),170)</f>
        <v>170</v>
      </c>
      <c r="J355" s="433">
        <f ca="1">J362</f>
        <v>66</v>
      </c>
      <c r="K355" s="434">
        <f ca="1">IF(I355&gt;0,J355*100/I355,0)</f>
        <v>38.823529411764703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IFERROR(__xludf.DUMMYFUNCTION("IMPORTRANGE(""https://docs.google.com/spreadsheets/d/1XWAQStnk-4SwqDmLtmXYiTMKHgktTP8We1SCoS47DrQ/edit?usp=sharing"",""จัดที่ดิน!W29"")"),68)</f>
        <v>68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IFERROR(__xludf.DUMMYFUNCTION("IMPORTRANGE(""https://docs.google.com/spreadsheets/d/1QqKyyYR6Q21VydFLVH3TRQUabQu_ym0Zz7PgGX0-kHA/edit?usp=sharing"",""แผน!EO29"")"),1650)</f>
        <v>1650</v>
      </c>
      <c r="J359" s="270">
        <f ca="1">IFERROR(__xludf.DUMMYFUNCTION("IMPORTRANGE(""https://docs.google.com/spreadsheets/d/1XWAQStnk-4SwqDmLtmXYiTMKHgktTP8We1SCoS47DrQ/edit?usp=sharing"",""จัดที่ดิน!X29"")"),482.76)</f>
        <v>482.76</v>
      </c>
      <c r="K359" s="466">
        <f t="shared" ca="1" si="161"/>
        <v>29.258181818181818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IFERROR(__xludf.DUMMYFUNCTION("IMPORTRANGE(""https://docs.google.com/spreadsheets/d/1QqKyyYR6Q21VydFLVH3TRQUabQu_ym0Zz7PgGX0-kHA/edit?usp=sharing"",""แผน!EP29"")"),170)</f>
        <v>170</v>
      </c>
      <c r="J360" s="270">
        <f ca="1">IFERROR(__xludf.DUMMYFUNCTION("IMPORTRANGE(""https://docs.google.com/spreadsheets/d/1XWAQStnk-4SwqDmLtmXYiTMKHgktTP8We1SCoS47DrQ/edit?usp=sharing"",""จัดที่ดิน!Y29"")"),67)</f>
        <v>67</v>
      </c>
      <c r="K360" s="466">
        <f t="shared" ca="1" si="161"/>
        <v>39.411764705882355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IFERROR(__xludf.DUMMYFUNCTION("IMPORTRANGE(""https://docs.google.com/spreadsheets/d/1XWAQStnk-4SwqDmLtmXYiTMKHgktTP8We1SCoS47DrQ/edit?usp=sharing"",""จัดที่ดิน!Z29"")"),480.099999999999)</f>
        <v>480.099999999999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IFERROR(__xludf.DUMMYFUNCTION("IMPORTRANGE(""https://docs.google.com/spreadsheets/d/1QqKyyYR6Q21VydFLVH3TRQUabQu_ym0Zz7PgGX0-kHA/edit?usp=sharing"",""แผน!EP29"")"),170)</f>
        <v>170</v>
      </c>
      <c r="J362" s="270">
        <f ca="1">IFERROR(__xludf.DUMMYFUNCTION("IMPORTRANGE(""https://docs.google.com/spreadsheets/d/1XWAQStnk-4SwqDmLtmXYiTMKHgktTP8We1SCoS47DrQ/edit?usp=sharing"",""จัดที่ดิน!AA29"")"),66)</f>
        <v>66</v>
      </c>
      <c r="K362" s="466">
        <f t="shared" ca="1" si="161"/>
        <v>38.823529411764703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IFERROR(__xludf.DUMMYFUNCTION("IMPORTRANGE(""https://docs.google.com/spreadsheets/d/1XWAQStnk-4SwqDmLtmXYiTMKHgktTP8We1SCoS47DrQ/edit?usp=sharing"",""จัดที่ดิน!AB29"")"),476.39)</f>
        <v>476.39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420</v>
      </c>
      <c r="J364" s="447">
        <f t="shared" ca="1" si="162"/>
        <v>340</v>
      </c>
      <c r="K364" s="448">
        <f t="shared" ca="1" si="161"/>
        <v>80.952380952380949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IFERROR(__xludf.DUMMYFUNCTION("IMPORTRANGE(""https://docs.google.com/spreadsheets/d/1QqKyyYR6Q21VydFLVH3TRQUabQu_ym0Zz7PgGX0-kHA/edit?usp=sharing"",""แผน!EJ29"")"),40)</f>
        <v>40</v>
      </c>
      <c r="J365" s="459">
        <f ca="1">J372</f>
        <v>6</v>
      </c>
      <c r="K365" s="460">
        <f t="shared" ca="1" si="161"/>
        <v>15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IFERROR(__xludf.DUMMYFUNCTION("IMPORTRANGE(""https://docs.google.com/spreadsheets/d/1XWAQStnk-4SwqDmLtmXYiTMKHgktTP8We1SCoS47DrQ/edit?usp=sharing"",""จัดที่ดิน!E29"")"),7)</f>
        <v>7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IFERROR(__xludf.DUMMYFUNCTION("IMPORTRANGE(""https://docs.google.com/spreadsheets/d/1QqKyyYR6Q21VydFLVH3TRQUabQu_ym0Zz7PgGX0-kHA/edit?usp=sharing"",""แผน!EI29"")"),400)</f>
        <v>400</v>
      </c>
      <c r="J369" s="270">
        <f ca="1">IFERROR(__xludf.DUMMYFUNCTION("IMPORTRANGE(""https://docs.google.com/spreadsheets/d/1XWAQStnk-4SwqDmLtmXYiTMKHgktTP8We1SCoS47DrQ/edit?usp=sharing"",""จัดที่ดิน!F29"")"),28)</f>
        <v>28</v>
      </c>
      <c r="K369" s="466">
        <f t="shared" ca="1" si="163"/>
        <v>7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IFERROR(__xludf.DUMMYFUNCTION("IMPORTRANGE(""https://docs.google.com/spreadsheets/d/1QqKyyYR6Q21VydFLVH3TRQUabQu_ym0Zz7PgGX0-kHA/edit?usp=sharing"",""แผน!EJ29"")"),40)</f>
        <v>40</v>
      </c>
      <c r="J370" s="270">
        <f ca="1">IFERROR(__xludf.DUMMYFUNCTION("IMPORTRANGE(""https://docs.google.com/spreadsheets/d/1XWAQStnk-4SwqDmLtmXYiTMKHgktTP8We1SCoS47DrQ/edit?usp=sharing"",""จัดที่ดิน!G29"")"),6)</f>
        <v>6</v>
      </c>
      <c r="K370" s="466">
        <f t="shared" ca="1" si="163"/>
        <v>15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IFERROR(__xludf.DUMMYFUNCTION("IMPORTRANGE(""https://docs.google.com/spreadsheets/d/1XWAQStnk-4SwqDmLtmXYiTMKHgktTP8We1SCoS47DrQ/edit?usp=sharing"",""จัดที่ดิน!H29"")"),25.34)</f>
        <v>25.34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IFERROR(__xludf.DUMMYFUNCTION("IMPORTRANGE(""https://docs.google.com/spreadsheets/d/1QqKyyYR6Q21VydFLVH3TRQUabQu_ym0Zz7PgGX0-kHA/edit?usp=sharing"",""แผน!EJ29"")"),40)</f>
        <v>40</v>
      </c>
      <c r="J372" s="270">
        <f ca="1">IFERROR(__xludf.DUMMYFUNCTION("IMPORTRANGE(""https://docs.google.com/spreadsheets/d/1XWAQStnk-4SwqDmLtmXYiTMKHgktTP8We1SCoS47DrQ/edit?usp=sharing"",""จัดที่ดิน!I29"")"),6)</f>
        <v>6</v>
      </c>
      <c r="K372" s="466">
        <f t="shared" ca="1" si="163"/>
        <v>15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IFERROR(__xludf.DUMMYFUNCTION("IMPORTRANGE(""https://docs.google.com/spreadsheets/d/1XWAQStnk-4SwqDmLtmXYiTMKHgktTP8We1SCoS47DrQ/edit?usp=sharing"",""จัดที่ดิน!J29"")"),26.27)</f>
        <v>26.27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IFERROR(__xludf.DUMMYFUNCTION("IMPORTRANGE(""https://docs.google.com/spreadsheets/d/1QqKyyYR6Q21VydFLVH3TRQUabQu_ym0Zz7PgGX0-kHA/edit?usp=sharing"",""แผน!EU29"")"),380)</f>
        <v>380</v>
      </c>
      <c r="J374" s="459">
        <f ca="1">J381</f>
        <v>334</v>
      </c>
      <c r="K374" s="460">
        <f t="shared" ca="1" si="163"/>
        <v>87.89473684210526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IFERROR(__xludf.DUMMYFUNCTION("IMPORTRANGE(""https://docs.google.com/spreadsheets/d/1XWAQStnk-4SwqDmLtmXYiTMKHgktTP8We1SCoS47DrQ/edit?usp=sharing"",""จัดที่ดิน!AH29"")"),61)</f>
        <v>61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IFERROR(__xludf.DUMMYFUNCTION("IMPORTRANGE(""https://docs.google.com/spreadsheets/d/1QqKyyYR6Q21VydFLVH3TRQUabQu_ym0Zz7PgGX0-kHA/edit?usp=sharing"",""แผน!ET29"")"),1250)</f>
        <v>1250</v>
      </c>
      <c r="J378" s="270">
        <f ca="1">IFERROR(__xludf.DUMMYFUNCTION("IMPORTRANGE(""https://docs.google.com/spreadsheets/d/1XWAQStnk-4SwqDmLtmXYiTMKHgktTP8We1SCoS47DrQ/edit?usp=sharing"",""จัดที่ดิน!AI29"")"),454.76)</f>
        <v>454.76</v>
      </c>
      <c r="K378" s="466">
        <f t="shared" ca="1" si="164"/>
        <v>36.380800000000001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IFERROR(__xludf.DUMMYFUNCTION("IMPORTRANGE(""https://docs.google.com/spreadsheets/d/1QqKyyYR6Q21VydFLVH3TRQUabQu_ym0Zz7PgGX0-kHA/edit?usp=sharing"",""แผน!EU29"")"),380)</f>
        <v>380</v>
      </c>
      <c r="J379" s="270">
        <f ca="1">IFERROR(__xludf.DUMMYFUNCTION("IMPORTRANGE(""https://docs.google.com/spreadsheets/d/1XWAQStnk-4SwqDmLtmXYiTMKHgktTP8We1SCoS47DrQ/edit?usp=sharing"",""จัดที่ดิน!AJ29"")"),338)</f>
        <v>338</v>
      </c>
      <c r="K379" s="466">
        <f t="shared" ca="1" si="164"/>
        <v>88.94736842105263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IFERROR(__xludf.DUMMYFUNCTION("IMPORTRANGE(""https://docs.google.com/spreadsheets/d/1XWAQStnk-4SwqDmLtmXYiTMKHgktTP8We1SCoS47DrQ/edit?usp=sharing"",""จัดที่ดิน!AK29"")"),3815.81999999999)</f>
        <v>3815.8199999999902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IFERROR(__xludf.DUMMYFUNCTION("IMPORTRANGE(""https://docs.google.com/spreadsheets/d/1QqKyyYR6Q21VydFLVH3TRQUabQu_ym0Zz7PgGX0-kHA/edit?usp=sharing"",""แผน!EU29"")"),380)</f>
        <v>380</v>
      </c>
      <c r="J381" s="270">
        <f ca="1">IFERROR(__xludf.DUMMYFUNCTION("IMPORTRANGE(""https://docs.google.com/spreadsheets/d/1XWAQStnk-4SwqDmLtmXYiTMKHgktTP8We1SCoS47DrQ/edit?usp=sharing"",""จัดที่ดิน!AL29"")"),334)</f>
        <v>334</v>
      </c>
      <c r="K381" s="466">
        <f t="shared" ca="1" si="164"/>
        <v>87.89473684210526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IFERROR(__xludf.DUMMYFUNCTION("IMPORTRANGE(""https://docs.google.com/spreadsheets/d/1XWAQStnk-4SwqDmLtmXYiTMKHgktTP8We1SCoS47DrQ/edit?usp=sharing"",""จัดที่ดิน!AM29"")"),3796.45)</f>
        <v>3796.45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IFERROR(__xludf.DUMMYFUNCTION("IMPORTRANGE(""https://docs.google.com/spreadsheets/d/1QqKyyYR6Q21VydFLVH3TRQUabQu_ym0Zz7PgGX0-kHA/edit?usp=sharing"",""แผน!EW29"")"),10)</f>
        <v>10</v>
      </c>
      <c r="J385" s="469">
        <f ca="1">IFERROR(__xludf.DUMMYFUNCTION("IMPORTRANGE(""https://docs.google.com/spreadsheets/d/1XWAQStnk-4SwqDmLtmXYiTMKHgktTP8We1SCoS47DrQ/edit?usp=sharing"",""จัดที่ดิน!AP29"")"),0)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4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IFERROR(__xludf.DUMMYFUNCTION("IMPORTRANGE(""https://docs.google.com/spreadsheets/d/1MeEWN-I1oV_STSDYn1IFDPWt_1FKiwhDph83XaGc0o0/edit?usp=sharing"",""งบพรบ!FG29"")"),0)</f>
        <v>0</v>
      </c>
      <c r="M394" s="93">
        <f ca="1">IFERROR(__xludf.DUMMYFUNCTION("IMPORTRANGE(""https://docs.google.com/spreadsheets/d/1MeEWN-I1oV_STSDYn1IFDPWt_1FKiwhDph83XaGc0o0/edit?usp=sharing"",""งบพรบ!FL29"")"),0)</f>
        <v>0</v>
      </c>
      <c r="N394" s="93">
        <f ca="1">IFERROR(__xludf.DUMMYFUNCTION("IMPORTRANGE(""https://docs.google.com/spreadsheets/d/1MeEWN-I1oV_STSDYn1IFDPWt_1FKiwhDph83XaGc0o0/edit?usp=sharing"",""งบพรบ!FN29"")"),0)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IFERROR(__xludf.DUMMYFUNCTION("IMPORTRANGE(""https://docs.google.com/spreadsheets/d/1MeEWN-I1oV_STSDYn1IFDPWt_1FKiwhDph83XaGc0o0/edit?usp=sharing"",""งบพรบ!FJ29"")"),0)</f>
        <v>0</v>
      </c>
      <c r="M397" s="93">
        <f ca="1">IFERROR(__xludf.DUMMYFUNCTION("IMPORTRANGE(""https://docs.google.com/spreadsheets/d/1MeEWN-I1oV_STSDYn1IFDPWt_1FKiwhDph83XaGc0o0/edit?usp=sharing"",""งบพรบ!FM29"")"),0)</f>
        <v>0</v>
      </c>
      <c r="N397" s="93">
        <f ca="1">IFERROR(__xludf.DUMMYFUNCTION("IMPORTRANGE(""https://docs.google.com/spreadsheets/d/1MeEWN-I1oV_STSDYn1IFDPWt_1FKiwhDph83XaGc0o0/edit?usp=sharing"",""งบพรบ!FO29"")"),0)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4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IFERROR(__xludf.DUMMYFUNCTION("IMPORTRANGE(""https://docs.google.com/spreadsheets/d/1MeEWN-I1oV_STSDYn1IFDPWt_1FKiwhDph83XaGc0o0/edit?usp=sharing"",""งบพรบ!FQ29"")"),0)</f>
        <v>0</v>
      </c>
      <c r="M407" s="93">
        <f ca="1">IFERROR(__xludf.DUMMYFUNCTION("IMPORTRANGE(""https://docs.google.com/spreadsheets/d/1MeEWN-I1oV_STSDYn1IFDPWt_1FKiwhDph83XaGc0o0/edit?usp=sharing"",""งบพรบ!FV29"")"),0)</f>
        <v>0</v>
      </c>
      <c r="N407" s="93">
        <f ca="1">IFERROR(__xludf.DUMMYFUNCTION("IMPORTRANGE(""https://docs.google.com/spreadsheets/d/1MeEWN-I1oV_STSDYn1IFDPWt_1FKiwhDph83XaGc0o0/edit?usp=sharing"",""งบพรบ!FX29"")"),0)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IFERROR(__xludf.DUMMYFUNCTION("IMPORTRANGE(""https://docs.google.com/spreadsheets/d/1MeEWN-I1oV_STSDYn1IFDPWt_1FKiwhDph83XaGc0o0/edit?usp=sharing"",""งบพรบ!FT29"")"),0)</f>
        <v>0</v>
      </c>
      <c r="M410" s="93">
        <f ca="1">IFERROR(__xludf.DUMMYFUNCTION("IMPORTRANGE(""https://docs.google.com/spreadsheets/d/1MeEWN-I1oV_STSDYn1IFDPWt_1FKiwhDph83XaGc0o0/edit?usp=sharing"",""งบพรบ!FW29"")"),0)</f>
        <v>0</v>
      </c>
      <c r="N410" s="93">
        <f ca="1">IFERROR(__xludf.DUMMYFUNCTION("IMPORTRANGE(""https://docs.google.com/spreadsheets/d/1MeEWN-I1oV_STSDYn1IFDPWt_1FKiwhDph83XaGc0o0/edit?usp=sharing"",""งบพรบ!FY29"")"),0)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1588912</v>
      </c>
      <c r="M414" s="517">
        <f t="shared" si="181"/>
        <v>0</v>
      </c>
      <c r="N414" s="517">
        <f t="shared" si="181"/>
        <v>417350</v>
      </c>
      <c r="O414" s="517">
        <f ca="1">IF(L414&gt;0,N414*100/L414,0)</f>
        <v>26.26640116003907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20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98660</v>
      </c>
      <c r="M419" s="155">
        <f t="shared" si="184"/>
        <v>0</v>
      </c>
      <c r="N419" s="155">
        <f t="shared" si="184"/>
        <v>70628.5</v>
      </c>
      <c r="O419" s="155">
        <f t="shared" ref="O419:O424" ca="1" si="185">IF(L419&gt;0,N419*100/L419,0)</f>
        <v>71.58777620109467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98660</v>
      </c>
      <c r="M421" s="93">
        <f t="shared" si="187"/>
        <v>0</v>
      </c>
      <c r="N421" s="93">
        <f t="shared" si="187"/>
        <v>70628.5</v>
      </c>
      <c r="O421" s="93">
        <f t="shared" ca="1" si="185"/>
        <v>71.58777620109467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8">L423+L424</f>
        <v>98660</v>
      </c>
      <c r="M422" s="466">
        <f t="shared" si="188"/>
        <v>0</v>
      </c>
      <c r="N422" s="466">
        <f t="shared" si="188"/>
        <v>70628.5</v>
      </c>
      <c r="O422" s="466">
        <f t="shared" ca="1" si="185"/>
        <v>71.58777620109467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IFERROR(__xludf.DUMMYFUNCTION("IMPORTRANGE(""https://docs.google.com/spreadsheets/d/1QqKyyYR6Q21VydFLVH3TRQUabQu_ym0Zz7PgGX0-kHA/edit?usp=sharing"",""แผน!EY29"")"),98660)</f>
        <v>98660</v>
      </c>
      <c r="M424" s="93">
        <v>0</v>
      </c>
      <c r="N424" s="93">
        <f>N425+N426+N427+N428</f>
        <v>70628.5</v>
      </c>
      <c r="O424" s="93">
        <f t="shared" ca="1" si="185"/>
        <v>71.58777620109467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v>32389.5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/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/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v>38239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20</v>
      </c>
      <c r="J433" s="64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t="shared" ref="I434:J434" ca="1" si="193">I438+I440</f>
        <v>1</v>
      </c>
      <c r="J434" s="648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IFERROR(__xludf.DUMMYFUNCTION("IMPORTRANGE(""https://docs.google.com/spreadsheets/d/1QqKyyYR6Q21VydFLVH3TRQUabQu_ym0Zz7PgGX0-kHA/edit?usp=sharing"",""แผน!FC29"")"),20)</f>
        <v>20</v>
      </c>
      <c r="J435" s="549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IFERROR(__xludf.DUMMYFUNCTION("IMPORTRANGE(""https://docs.google.com/spreadsheets/d/1QqKyyYR6Q21VydFLVH3TRQUabQu_ym0Zz7PgGX0-kHA/edit?usp=sharing"",""แผน!FD29"")"),0)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IFERROR(__xludf.DUMMYFUNCTION("IMPORTRANGE(""https://docs.google.com/spreadsheets/d/1QqKyyYR6Q21VydFLVH3TRQUabQu_ym0Zz7PgGX0-kHA/edit?usp=sharing"",""แผน!FE29"")"),0)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IFERROR(__xludf.DUMMYFUNCTION("IMPORTRANGE(""https://docs.google.com/spreadsheets/d/1QqKyyYR6Q21VydFLVH3TRQUabQu_ym0Zz7PgGX0-kHA/edit?usp=sharing"",""แผน!FF29"")"),20)</f>
        <v>20</v>
      </c>
      <c r="J439" s="549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IFERROR(__xludf.DUMMYFUNCTION("IMPORTRANGE(""https://docs.google.com/spreadsheets/d/1QqKyyYR6Q21VydFLVH3TRQUabQu_ym0Zz7PgGX0-kHA/edit?usp=sharing"",""แผน!FG29"")"),1)</f>
        <v>1</v>
      </c>
      <c r="J440" s="215">
        <v>0</v>
      </c>
      <c r="K440" s="466">
        <f t="shared" ca="1" si="194"/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IFERROR(__xludf.DUMMYFUNCTION("IMPORTRANGE(""https://docs.google.com/spreadsheets/d/1QqKyyYR6Q21VydFLVH3TRQUabQu_ym0Zz7PgGX0-kHA/edit?usp=sharing"",""แผน!FH29"")"),0)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30</v>
      </c>
      <c r="J442" s="555">
        <f t="shared" si="195"/>
        <v>0</v>
      </c>
      <c r="K442" s="556">
        <f t="shared" ca="1" si="194"/>
        <v>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50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137480</v>
      </c>
      <c r="M444" s="195">
        <f t="shared" si="197"/>
        <v>0</v>
      </c>
      <c r="N444" s="195">
        <f t="shared" si="197"/>
        <v>55700.5</v>
      </c>
      <c r="O444" s="195">
        <f t="shared" ref="O444:O449" ca="1" si="198">IF(L444&gt;0,N444*100/L444,0)</f>
        <v>40.515347686936281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0"/>
        <v>137480</v>
      </c>
      <c r="M446" s="93">
        <f t="shared" si="200"/>
        <v>0</v>
      </c>
      <c r="N446" s="93">
        <f t="shared" si="200"/>
        <v>55700.5</v>
      </c>
      <c r="O446" s="93">
        <f t="shared" ca="1" si="198"/>
        <v>40.515347686936281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1">L448+L449</f>
        <v>137480</v>
      </c>
      <c r="M447" s="466">
        <f t="shared" si="201"/>
        <v>0</v>
      </c>
      <c r="N447" s="466">
        <f t="shared" si="201"/>
        <v>55700.5</v>
      </c>
      <c r="O447" s="466">
        <f t="shared" ca="1" si="198"/>
        <v>40.515347686936281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IFERROR(__xludf.DUMMYFUNCTION("IMPORTRANGE(""https://docs.google.com/spreadsheets/d/1QqKyyYR6Q21VydFLVH3TRQUabQu_ym0Zz7PgGX0-kHA/edit?usp=sharing"",""แผน!FJ29"")"),137480)</f>
        <v>137480</v>
      </c>
      <c r="M449" s="93">
        <v>0</v>
      </c>
      <c r="N449" s="93">
        <f>N450+N451+N452+N453</f>
        <v>55700.5</v>
      </c>
      <c r="O449" s="93">
        <f t="shared" ca="1" si="198"/>
        <v>40.515347686936281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v>41540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/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v>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v>14160.5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IFERROR(__xludf.DUMMYFUNCTION("IMPORTRANGE(""https://docs.google.com/spreadsheets/d/1QqKyyYR6Q21VydFLVH3TRQUabQu_ym0Zz7PgGX0-kHA/edit?usp=sharing"",""แผน!FN29"")"),30)</f>
        <v>30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IFERROR(__xludf.DUMMYFUNCTION("IMPORTRANGE(""https://docs.google.com/spreadsheets/d/1QqKyyYR6Q21VydFLVH3TRQUabQu_ym0Zz7PgGX0-kHA/edit?usp=sharing"",""แผน!FO29"")"),50)</f>
        <v>50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IFERROR(__xludf.DUMMYFUNCTION("IMPORTRANGE(""https://docs.google.com/spreadsheets/d/1QqKyyYR6Q21VydFLVH3TRQUabQu_ym0Zz7PgGX0-kHA/edit?usp=sharing"",""แผน!FO29"")"),50)</f>
        <v>50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IFERROR(__xludf.DUMMYFUNCTION("IMPORTRANGE(""https://docs.google.com/spreadsheets/d/1QqKyyYR6Q21VydFLVH3TRQUabQu_ym0Zz7PgGX0-kHA/edit?usp=sharing"",""แผน!FN29"")"),30)</f>
        <v>30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IFERROR(__xludf.DUMMYFUNCTION("IMPORTRANGE(""https://docs.google.com/spreadsheets/d/1QqKyyYR6Q21VydFLVH3TRQUabQu_ym0Zz7PgGX0-kHA/edit?usp=sharing"",""แผน!FX29"")"),61)</f>
        <v>61</v>
      </c>
      <c r="J465" s="555">
        <f>J485+J489+J492</f>
        <v>0</v>
      </c>
      <c r="K465" s="556">
        <f t="shared" ref="K465:K466" ca="1" si="205">IF(I465&gt;0,J465*100/I465,0)</f>
        <v>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IFERROR(__xludf.DUMMYFUNCTION("IMPORTRANGE(""https://docs.google.com/spreadsheets/d/1QqKyyYR6Q21VydFLVH3TRQUabQu_ym0Zz7PgGX0-kHA/edit?usp=sharing"",""แผน!FW29"")"),600)</f>
        <v>600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490033</v>
      </c>
      <c r="M467" s="195">
        <f t="shared" si="206"/>
        <v>0</v>
      </c>
      <c r="N467" s="195">
        <f t="shared" si="206"/>
        <v>14354</v>
      </c>
      <c r="O467" s="195">
        <f t="shared" ref="O467:O472" ca="1" si="207">IF(L467&gt;0,N467*100/L467,0)</f>
        <v>2.9291904830899145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09"/>
        <v>490033</v>
      </c>
      <c r="M469" s="93">
        <f t="shared" si="209"/>
        <v>0</v>
      </c>
      <c r="N469" s="93">
        <f t="shared" si="209"/>
        <v>14354</v>
      </c>
      <c r="O469" s="93">
        <f t="shared" ca="1" si="207"/>
        <v>2.9291904830899145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0">L471+L472</f>
        <v>490033</v>
      </c>
      <c r="M470" s="466">
        <f t="shared" si="210"/>
        <v>0</v>
      </c>
      <c r="N470" s="466">
        <f t="shared" si="210"/>
        <v>14354</v>
      </c>
      <c r="O470" s="466">
        <f t="shared" ca="1" si="207"/>
        <v>2.9291904830899145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IFERROR(__xludf.DUMMYFUNCTION("IMPORTRANGE(""https://docs.google.com/spreadsheets/d/1QqKyyYR6Q21VydFLVH3TRQUabQu_ym0Zz7PgGX0-kHA/edit?usp=sharing"",""แผน!FS29"")"),490033)</f>
        <v>490033</v>
      </c>
      <c r="M472" s="93">
        <v>0</v>
      </c>
      <c r="N472" s="93">
        <f>N473+N474+N475+N476</f>
        <v>14354</v>
      </c>
      <c r="O472" s="93">
        <f t="shared" ca="1" si="207"/>
        <v>2.9291904830899145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>
        <v>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/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v>14354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IFERROR(__xludf.DUMMYFUNCTION("IMPORTRANGE(""https://docs.google.com/spreadsheets/d/1QqKyyYR6Q21VydFLVH3TRQUabQu_ym0Zz7PgGX0-kHA/edit?usp=sharing"",""แผน!FY29"")"),540)</f>
        <v>540</v>
      </c>
      <c r="J483" s="215">
        <v>0</v>
      </c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IFERROR(__xludf.DUMMYFUNCTION("IMPORTRANGE(""https://docs.google.com/spreadsheets/d/1QqKyyYR6Q21VydFLVH3TRQUabQu_ym0Zz7PgGX0-kHA/edit?usp=sharing"",""แผน!FZ29"")"),54)</f>
        <v>54</v>
      </c>
      <c r="J485" s="215">
        <v>0</v>
      </c>
      <c r="K485" s="466">
        <f ca="1">IF(I485&gt;0,J485*100/I485,0)</f>
        <v>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IFERROR(__xludf.DUMMYFUNCTION("IMPORTRANGE(""https://docs.google.com/spreadsheets/d/1QqKyyYR6Q21VydFLVH3TRQUabQu_ym0Zz7PgGX0-kHA/edit?usp=sharing"",""แผน!GA29"")"),60)</f>
        <v>60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IFERROR(__xludf.DUMMYFUNCTION("IMPORTRANGE(""https://docs.google.com/spreadsheets/d/1QqKyyYR6Q21VydFLVH3TRQUabQu_ym0Zz7PgGX0-kHA/edit?usp=sharing"",""แผน!GB29"")"),6)</f>
        <v>6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IFERROR(__xludf.DUMMYFUNCTION("IMPORTRANGE(""https://docs.google.com/spreadsheets/d/1QqKyyYR6Q21VydFLVH3TRQUabQu_ym0Zz7PgGX0-kHA/edit?usp=sharing"",""แผน!GC29"")"),1)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IFERROR(__xludf.DUMMYFUNCTION("IMPORTRANGE(""https://docs.google.com/spreadsheets/d/1QqKyyYR6Q21VydFLVH3TRQUabQu_ym0Zz7PgGX0-kHA/edit?usp=sharing"",""แผน!FY29"")"),540)</f>
        <v>540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IFERROR(__xludf.DUMMYFUNCTION("IMPORTRANGE(""https://docs.google.com/spreadsheets/d/1QqKyyYR6Q21VydFLVH3TRQUabQu_ym0Zz7PgGX0-kHA/edit?usp=sharing"",""แผน!GA29"")"),60)</f>
        <v>60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6">L503+L504</f>
        <v>0</v>
      </c>
      <c r="M502" s="614">
        <f t="shared" si="216"/>
        <v>0</v>
      </c>
      <c r="N502" s="614">
        <f t="shared" si="216"/>
        <v>0</v>
      </c>
      <c r="O502" s="614">
        <f t="shared" ref="O502:O507" si="217">IF(L502&gt;0,N502*100/L502,0)</f>
        <v>0</v>
      </c>
      <c r="P502" s="614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6"/>
      <c r="D505" s="853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853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 hidden="1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5">I537</f>
        <v>0</v>
      </c>
      <c r="J522" s="675">
        <f t="shared" ca="1" si="225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IFERROR(__xludf.DUMMYFUNCTION("IMPORTRANGE(""https://docs.google.com/spreadsheets/d/1QqKyyYR6Q21VydFLVH3TRQUabQu_ym0Zz7PgGX0-kHA/edit?usp=sharing"",""แผน!GU29"")"),0)</f>
        <v>0</v>
      </c>
      <c r="J537" s="648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 hidden="1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IFERROR(__xludf.DUMMYFUNCTION("IMPORTRANGE(""https://docs.google.com/spreadsheets/d/1QqKyyYR6Q21VydFLVH3TRQUabQu_ym0Zz7PgGX0-kHA/edit?usp=sharing"",""แผน!GV29"")"),0)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 hidden="1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IFERROR(__xludf.DUMMYFUNCTION("IMPORTRANGE(""https://docs.google.com/spreadsheets/d/1QqKyyYR6Q21VydFLVH3TRQUabQu_ym0Zz7PgGX0-kHA/edit?usp=sharing"",""แผน!GW29"")"),0)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 hidden="1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IFERROR(__xludf.DUMMYFUNCTION("IMPORTRANGE(""https://docs.google.com/spreadsheets/d/1QqKyyYR6Q21VydFLVH3TRQUabQu_ym0Zz7PgGX0-kHA/edit?usp=sharing"",""แผน!GX29"")"),0)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 hidden="1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IFERROR(__xludf.DUMMYFUNCTION("IMPORTRANGE(""https://docs.google.com/spreadsheets/d/1QqKyyYR6Q21VydFLVH3TRQUabQu_ym0Zz7PgGX0-kHA/edit?usp=sharing"",""แผน!GY29"")"),0)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 hidden="1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IFERROR(__xludf.DUMMYFUNCTION("IMPORTRANGE(""https://docs.google.com/spreadsheets/d/1QqKyyYR6Q21VydFLVH3TRQUabQu_ym0Zz7PgGX0-kHA/edit?usp=sharing"",""แผน!GZ29"")"),0)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5">I559</f>
        <v>60744</v>
      </c>
      <c r="J543" s="654">
        <f t="shared" si="235"/>
        <v>0</v>
      </c>
      <c r="K543" s="655">
        <f t="shared" ca="1" si="234"/>
        <v>0</v>
      </c>
      <c r="L543" s="637"/>
      <c r="M543" s="637"/>
      <c r="N543" s="637"/>
      <c r="O543" s="637"/>
      <c r="P543" s="637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6">L545+L546</f>
        <v>368439</v>
      </c>
      <c r="M544" s="155">
        <f t="shared" si="236"/>
        <v>0</v>
      </c>
      <c r="N544" s="155">
        <f t="shared" si="236"/>
        <v>95296</v>
      </c>
      <c r="O544" s="155">
        <f t="shared" ref="O544:O549" ca="1" si="237">IF(L544&gt;0,N544*100/L544,0)</f>
        <v>25.864797157738458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39"/>
        <v>368439</v>
      </c>
      <c r="M546" s="93">
        <f t="shared" si="240"/>
        <v>0</v>
      </c>
      <c r="N546" s="93">
        <f t="shared" si="240"/>
        <v>95296</v>
      </c>
      <c r="O546" s="93">
        <f t="shared" ca="1" si="237"/>
        <v>25.864797157738458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1">L548+L549</f>
        <v>368439</v>
      </c>
      <c r="M547" s="466">
        <f t="shared" si="241"/>
        <v>0</v>
      </c>
      <c r="N547" s="466">
        <f t="shared" si="241"/>
        <v>95296</v>
      </c>
      <c r="O547" s="466">
        <f t="shared" ca="1" si="237"/>
        <v>25.864797157738458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IFERROR(__xludf.DUMMYFUNCTION("IMPORTRANGE(""https://docs.google.com/spreadsheets/d/1QqKyyYR6Q21VydFLVH3TRQUabQu_ym0Zz7PgGX0-kHA/edit?usp=sharing"",""แผน!HB29"")"),368439)</f>
        <v>368439</v>
      </c>
      <c r="M549" s="93">
        <v>0</v>
      </c>
      <c r="N549" s="93">
        <f>N550+N551+N552+N553+N554</f>
        <v>95296</v>
      </c>
      <c r="O549" s="93">
        <f t="shared" ca="1" si="237"/>
        <v>25.864797157738458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801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801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801">
        <v>50728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801">
        <v>44568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5">I576</f>
        <v>60744</v>
      </c>
      <c r="J559" s="675">
        <f t="shared" si="245"/>
        <v>0</v>
      </c>
      <c r="K559" s="644">
        <f t="shared" ref="K559:K561" ca="1" si="246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9"/>
      <c r="H560" s="734" t="s">
        <v>46</v>
      </c>
      <c r="I560" s="193">
        <f ca="1">IFERROR(__xludf.DUMMYFUNCTION("IMPORTRANGE(""https://docs.google.com/spreadsheets/d/1QqKyyYR6Q21VydFLVH3TRQUabQu_ym0Zz7PgGX0-kHA/edit?usp=sharing"",""แผน!HH29"")"),60744)</f>
        <v>60744</v>
      </c>
      <c r="J560" s="193">
        <f t="shared" ref="J560:J561" si="247">J562+J564+J566</f>
        <v>60719</v>
      </c>
      <c r="K560" s="380">
        <f t="shared" ca="1" si="246"/>
        <v>99.958843671802981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9"/>
      <c r="H561" s="734" t="s">
        <v>34</v>
      </c>
      <c r="I561" s="193">
        <f ca="1">IFERROR(__xludf.DUMMYFUNCTION("IMPORTRANGE(""https://docs.google.com/spreadsheets/d/1QqKyyYR6Q21VydFLVH3TRQUabQu_ym0Zz7PgGX0-kHA/edit?usp=sharing"",""แผน!HG29"")"),8156)</f>
        <v>8156</v>
      </c>
      <c r="J561" s="193">
        <f t="shared" si="247"/>
        <v>8151</v>
      </c>
      <c r="K561" s="380">
        <f t="shared" ca="1" si="246"/>
        <v>99.938695438940655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v>59106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v>7939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v>473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v>62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v>1140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v>150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9"/>
      <c r="H568" s="734" t="s">
        <v>46</v>
      </c>
      <c r="I568" s="193">
        <f ca="1">IFERROR(__xludf.DUMMYFUNCTION("IMPORTRANGE(""https://docs.google.com/spreadsheets/d/1QqKyyYR6Q21VydFLVH3TRQUabQu_ym0Zz7PgGX0-kHA/edit?usp=sharing"",""แผน!HH29"")"),60744)</f>
        <v>60744</v>
      </c>
      <c r="J568" s="648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9"/>
      <c r="H569" s="734" t="s">
        <v>34</v>
      </c>
      <c r="I569" s="193">
        <f ca="1">IFERROR(__xludf.DUMMYFUNCTION("IMPORTRANGE(""https://docs.google.com/spreadsheets/d/1QqKyyYR6Q21VydFLVH3TRQUabQu_ym0Zz7PgGX0-kHA/edit?usp=sharing"",""แผน!HG29"")"),8156)</f>
        <v>8156</v>
      </c>
      <c r="J569" s="648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9"/>
      <c r="H576" s="734" t="s">
        <v>46</v>
      </c>
      <c r="I576" s="193">
        <f ca="1">IFERROR(__xludf.DUMMYFUNCTION("IMPORTRANGE(""https://docs.google.com/spreadsheets/d/1QqKyyYR6Q21VydFLVH3TRQUabQu_ym0Zz7PgGX0-kHA/edit?usp=sharing"",""แผน!HH29"")"),60744)</f>
        <v>60744</v>
      </c>
      <c r="J576" s="648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9"/>
      <c r="H577" s="734" t="s">
        <v>34</v>
      </c>
      <c r="I577" s="193">
        <f ca="1">IFERROR(__xludf.DUMMYFUNCTION("IMPORTRANGE(""https://docs.google.com/spreadsheets/d/1QqKyyYR6Q21VydFLVH3TRQUabQu_ym0Zz7PgGX0-kHA/edit?usp=sharing"",""แผน!HG29"")"),8156)</f>
        <v>8156</v>
      </c>
      <c r="J577" s="648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3">I593</f>
        <v>316.11</v>
      </c>
      <c r="J592" s="675">
        <f t="shared" si="253"/>
        <v>0</v>
      </c>
      <c r="K592" s="644">
        <f t="shared" ref="K592:K594" ca="1" si="254">IF(I592&gt;0,J592*100/I592,0)</f>
        <v>0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IFERROR(__xludf.DUMMYFUNCTION("IMPORTRANGE(""https://docs.google.com/spreadsheets/d/1QqKyyYR6Q21VydFLVH3TRQUabQu_ym0Zz7PgGX0-kHA/edit?usp=sharing"",""แผน!HJ29"")"),316.11)</f>
        <v>316.11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IFERROR(__xludf.DUMMYFUNCTION("IMPORTRANGE(""https://docs.google.com/spreadsheets/d/1QqKyyYR6Q21VydFLVH3TRQUabQu_ym0Zz7PgGX0-kHA/edit?usp=sharing"",""แผน!HI29"")"),32)</f>
        <v>32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8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59">J614+J616</f>
        <v>0</v>
      </c>
      <c r="K612" s="684">
        <f t="shared" si="258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59"/>
        <v>0</v>
      </c>
      <c r="K613" s="684">
        <f t="shared" si="258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IFERROR(__xludf.DUMMYFUNCTION("IMPORTRANGE(""https://docs.google.com/spreadsheets/d/1QqKyyYR6Q21VydFLVH3TRQUabQu_ym0Zz7PgGX0-kHA/edit?usp=sharing"",""แผน!HL29"")"),631)</f>
        <v>631</v>
      </c>
      <c r="J620" s="695">
        <f t="shared" ref="J620:J621" si="260">J622+J624+J626</f>
        <v>0</v>
      </c>
      <c r="K620" s="696">
        <f t="shared" ref="K620:K621" ca="1" si="261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IFERROR(__xludf.DUMMYFUNCTION("IMPORTRANGE(""https://docs.google.com/spreadsheets/d/1QqKyyYR6Q21VydFLVH3TRQUabQu_ym0Zz7PgGX0-kHA/edit?usp=sharing"",""แผน!HK29"")"),50)</f>
        <v>50</v>
      </c>
      <c r="J621" s="695">
        <f t="shared" si="260"/>
        <v>0</v>
      </c>
      <c r="K621" s="696">
        <f t="shared" ca="1" si="261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262">I651</f>
        <v>10</v>
      </c>
      <c r="J628" s="708">
        <f t="shared" ca="1" si="262"/>
        <v>0</v>
      </c>
      <c r="K628" s="709">
        <f ca="1">IF(I628&gt;0,J628*100/I628,0)</f>
        <v>0</v>
      </c>
      <c r="L628" s="710"/>
      <c r="M628" s="710"/>
      <c r="N628" s="710"/>
      <c r="O628" s="710"/>
      <c r="P628" s="710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165700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6"/>
        <v>165700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7">L633+L634</f>
        <v>165700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IFERROR(__xludf.DUMMYFUNCTION("IMPORTRANGE(""https://docs.google.com/spreadsheets/d/1QqKyyYR6Q21VydFLVH3TRQUabQu_ym0Zz7PgGX0-kHA/edit?usp=sharing"",""แผน!HN29"")"),165700)</f>
        <v>165700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v>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IFERROR(__xludf.DUMMYFUNCTION("IMPORTRANGE(""https://docs.google.com/spreadsheets/d/1QqKyyYR6Q21VydFLVH3TRQUabQu_ym0Zz7PgGX0-kHA/edit?usp=sharing"",""แผน!HR29"")"),0)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IFERROR(__xludf.DUMMYFUNCTION("IMPORTRANGE(""https://docs.google.com/spreadsheets/d/1QqKyyYR6Q21VydFLVH3TRQUabQu_ym0Zz7PgGX0-kHA/edit?usp=sharing"",""แผน!HR29"")"),0)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IFERROR(__xludf.DUMMYFUNCTION("IMPORTRANGE(""https://docs.google.com/spreadsheets/d/1XWAQStnk-4SwqDmLtmXYiTMKHgktTP8We1SCoS47DrQ/edit?usp=sharing"",""จัดที่ดิน!AS29"")"),0)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IFERROR(__xludf.DUMMYFUNCTION("IMPORTRANGE(""https://docs.google.com/spreadsheets/d/1XWAQStnk-4SwqDmLtmXYiTMKHgktTP8We1SCoS47DrQ/edit?usp=sharing"",""จัดที่ดิน!AT29"")"),0)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IFERROR(__xludf.DUMMYFUNCTION("IMPORTRANGE(""https://docs.google.com/spreadsheets/d/1QqKyyYR6Q21VydFLVH3TRQUabQu_ym0Zz7PgGX0-kHA/edit?usp=sharing"",""แผน!HS29"")"),10)</f>
        <v>10</v>
      </c>
      <c r="J647" s="270">
        <f ca="1">IFERROR(__xludf.DUMMYFUNCTION("IMPORTRANGE(""https://docs.google.com/spreadsheets/d/1XWAQStnk-4SwqDmLtmXYiTMKHgktTP8We1SCoS47DrQ/edit?usp=sharing"",""จัดที่ดิน!AU29"")"),0)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IFERROR(__xludf.DUMMYFUNCTION("IMPORTRANGE(""https://docs.google.com/spreadsheets/d/1XWAQStnk-4SwqDmLtmXYiTMKHgktTP8We1SCoS47DrQ/edit?usp=sharing"",""จัดที่ดิน!AV29"")"),0)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IFERROR(__xludf.DUMMYFUNCTION("IMPORTRANGE(""https://docs.google.com/spreadsheets/d/1QqKyyYR6Q21VydFLVH3TRQUabQu_ym0Zz7PgGX0-kHA/edit?usp=sharing"",""แผน!HS29"")"),10)</f>
        <v>10</v>
      </c>
      <c r="J649" s="270">
        <f ca="1">IFERROR(__xludf.DUMMYFUNCTION("IMPORTRANGE(""https://docs.google.com/spreadsheets/d/1XWAQStnk-4SwqDmLtmXYiTMKHgktTP8We1SCoS47DrQ/edit?usp=sharing"",""จัดที่ดิน!AW29"")"),0)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IFERROR(__xludf.DUMMYFUNCTION("IMPORTRANGE(""https://docs.google.com/spreadsheets/d/1XWAQStnk-4SwqDmLtmXYiTMKHgktTP8We1SCoS47DrQ/edit?usp=sharing"",""จัดที่ดิน!AX29"")"),0)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IFERROR(__xludf.DUMMYFUNCTION("IMPORTRANGE(""https://docs.google.com/spreadsheets/d/1QqKyyYR6Q21VydFLVH3TRQUabQu_ym0Zz7PgGX0-kHA/edit?usp=sharing"",""แผน!HS29"")"),10)</f>
        <v>10</v>
      </c>
      <c r="J651" s="270">
        <f ca="1">IFERROR(__xludf.DUMMYFUNCTION("IMPORTRANGE(""https://docs.google.com/spreadsheets/d/1XWAQStnk-4SwqDmLtmXYiTMKHgktTP8We1SCoS47DrQ/edit?usp=sharing"",""จัดที่ดิน!AY29"")"),0)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IFERROR(__xludf.DUMMYFUNCTION("IMPORTRANGE(""https://docs.google.com/spreadsheets/d/1XWAQStnk-4SwqDmLtmXYiTMKHgktTP8We1SCoS47DrQ/edit?usp=sharing"",""จัดที่ดิน!AZ29"")"),0)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2">I669</f>
        <v>50</v>
      </c>
      <c r="J654" s="675">
        <f t="shared" si="27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2500</v>
      </c>
      <c r="O655" s="195">
        <f t="shared" ref="O655:O660" ca="1" si="274">IF(L655&gt;0,N655*100/L655,0)</f>
        <v>26.595744680851062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2500</v>
      </c>
      <c r="O657" s="93">
        <f t="shared" ca="1" si="274"/>
        <v>26.595744680851062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si="277"/>
        <v>0</v>
      </c>
      <c r="N658" s="466">
        <f t="shared" si="277"/>
        <v>2500</v>
      </c>
      <c r="O658" s="466">
        <f t="shared" ca="1" si="274"/>
        <v>26.595744680851062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IFERROR(__xludf.DUMMYFUNCTION("IMPORTRANGE(""https://docs.google.com/spreadsheets/d/1QqKyyYR6Q21VydFLVH3TRQUabQu_ym0Zz7PgGX0-kHA/edit?usp=sharing"",""แผน!HV29"")"),9400)</f>
        <v>9400</v>
      </c>
      <c r="M660" s="93">
        <v>0</v>
      </c>
      <c r="N660" s="93">
        <f>N661+N662+N663+N664</f>
        <v>2500</v>
      </c>
      <c r="O660" s="93">
        <f t="shared" ca="1" si="274"/>
        <v>26.595744680851062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v>2500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IFERROR(__xludf.DUMMYFUNCTION("IMPORTRANGE(""https://docs.google.com/spreadsheets/d/1QqKyyYR6Q21VydFLVH3TRQUabQu_ym0Zz7PgGX0-kHA/edit?usp=sharing"",""แผน!IA29"")"),50)</f>
        <v>50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IFERROR(__xludf.DUMMYFUNCTION("IMPORTRANGE(""https://docs.google.com/spreadsheets/d/1QqKyyYR6Q21VydFLVH3TRQUabQu_ym0Zz7PgGX0-kHA/edit?usp=sharing"",""แผน!HZ29"")"),4)</f>
        <v>4</v>
      </c>
      <c r="J670" s="215">
        <v>5</v>
      </c>
      <c r="K670" s="466">
        <f ca="1">IF(I670&gt;0,(J670*100)/I670,0)</f>
        <v>125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IFERROR(__xludf.DUMMYFUNCTION("IMPORTRANGE(""https://docs.google.com/spreadsheets/d/1QqKyyYR6Q21VydFLVH3TRQUabQu_ym0Zz7PgGX0-kHA/edit?usp=sharing"",""แผน!HZ29"")"),4)</f>
        <v>4</v>
      </c>
      <c r="J671" s="215">
        <v>5</v>
      </c>
      <c r="K671" s="466">
        <f ca="1">IF(I$671&gt;0,J671*100/I$671,0)</f>
        <v>125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IFERROR(__xludf.DUMMYFUNCTION("IMPORTRANGE(""https://docs.google.com/spreadsheets/d/1QqKyyYR6Q21VydFLVH3TRQUabQu_ym0Zz7PgGX0-kHA/edit?usp=sharing"",""แผน!IB29"")"),0)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 hidden="1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 hidden="1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 hidden="1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 hidden="1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 hidden="1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 hidden="1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 hidden="1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 hidden="1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 hidden="1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 hidden="1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IFERROR(__xludf.DUMMYFUNCTION("IMPORTRANGE(""https://docs.google.com/spreadsheets/d/1QqKyyYR6Q21VydFLVH3TRQUabQu_ym0Zz7PgGX0-kHA/edit?usp=sharing"",""แผน!IC29"")"),0)</f>
        <v>0</v>
      </c>
      <c r="J699" s="270">
        <f ca="1">IFERROR(__xludf.DUMMYFUNCTION("IMPORTRANGE(""https://docs.google.com/spreadsheets/d/1XWAQStnk-4SwqDmLtmXYiTMKHgktTP8We1SCoS47DrQ/edit?usp=sharing"",""จัดที่ดิน!BB29"")"),0)</f>
        <v>0</v>
      </c>
      <c r="K699" s="466">
        <f t="shared" ref="K699:K701" ca="1" si="290">IF(I699&gt;0,J699*100/I699,0)</f>
        <v>0</v>
      </c>
      <c r="L699" s="466"/>
      <c r="M699" s="189"/>
      <c r="N699" s="733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 hidden="1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IFERROR(__xludf.DUMMYFUNCTION("IMPORTRANGE(""https://docs.google.com/spreadsheets/d/1QqKyyYR6Q21VydFLVH3TRQUabQu_ym0Zz7PgGX0-kHA/edit?usp=sharing"",""แผน!ID29"")"),0)</f>
        <v>0</v>
      </c>
      <c r="J700" s="270">
        <f ca="1">IFERROR(__xludf.DUMMYFUNCTION("IMPORTRANGE(""https://docs.google.com/spreadsheets/d/1XWAQStnk-4SwqDmLtmXYiTMKHgktTP8We1SCoS47DrQ/edit?usp=sharing"",""จัดที่ดิน!BD29"")"),0)</f>
        <v>0</v>
      </c>
      <c r="K700" s="466">
        <f t="shared" ca="1" si="290"/>
        <v>0</v>
      </c>
      <c r="L700" s="466"/>
      <c r="M700" s="189"/>
      <c r="N700" s="733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 hidden="1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IFERROR(__xludf.DUMMYFUNCTION("IMPORTRANGE(""https://docs.google.com/spreadsheets/d/1QqKyyYR6Q21VydFLVH3TRQUabQu_ym0Zz7PgGX0-kHA/edit?usp=sharing"",""แผน!IE29"")"),0)</f>
        <v>0</v>
      </c>
      <c r="J701" s="648">
        <f>J704+J707</f>
        <v>0</v>
      </c>
      <c r="K701" s="195">
        <f t="shared" ca="1" si="290"/>
        <v>0</v>
      </c>
      <c r="L701" s="466"/>
      <c r="M701" s="189"/>
      <c r="N701" s="733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 hidden="1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 hidden="1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 hidden="1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IFERROR(__xludf.DUMMYFUNCTION("IMPORTRANGE(""https://docs.google.com/spreadsheets/d/1QqKyyYR6Q21VydFLVH3TRQUabQu_ym0Zz7PgGX0-kHA/edit?usp=sharing"",""แผน!IF29"")"),0)</f>
        <v>0</v>
      </c>
      <c r="J704" s="215">
        <v>0</v>
      </c>
      <c r="K704" s="466"/>
      <c r="L704" s="466"/>
      <c r="M704" s="189"/>
      <c r="N704" s="733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 hidden="1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0</v>
      </c>
      <c r="K705" s="466"/>
      <c r="L705" s="466"/>
      <c r="M705" s="189"/>
      <c r="N705" s="733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 hidden="1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0</v>
      </c>
      <c r="K706" s="466"/>
      <c r="L706" s="466"/>
      <c r="M706" s="189"/>
      <c r="N706" s="733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 hidden="1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IFERROR(__xludf.DUMMYFUNCTION("IMPORTRANGE(""https://docs.google.com/spreadsheets/d/1QqKyyYR6Q21VydFLVH3TRQUabQu_ym0Zz7PgGX0-kHA/edit?usp=sharing"",""แผน!IG29"")"),0)</f>
        <v>0</v>
      </c>
      <c r="J707" s="215">
        <v>0</v>
      </c>
      <c r="K707" s="466"/>
      <c r="L707" s="466"/>
      <c r="M707" s="189"/>
      <c r="N707" s="733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 hidden="1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IFERROR(__xludf.DUMMYFUNCTION("IMPORTRANGE(""https://docs.google.com/spreadsheets/d/1QqKyyYR6Q21VydFLVH3TRQUabQu_ym0Zz7PgGX0-kHA/edit?usp=sharing"",""แผน!IH29"")"),0)</f>
        <v>0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 hidden="1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 hidden="1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 hidden="1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 hidden="1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 hidden="1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 hidden="1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 hidden="1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 hidden="1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 hidden="1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 hidden="1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IFERROR(__xludf.DUMMYFUNCTION("IMPORTRANGE(""https://docs.google.com/spreadsheets/d/1XWAQStnk-4SwqDmLtmXYiTMKHgktTP8We1SCoS47DrQ/edit?usp=sharing"",""จัดที่ดิน!BF29"")"),0)</f>
        <v>0</v>
      </c>
      <c r="K718" s="466"/>
      <c r="L718" s="466"/>
      <c r="M718" s="189"/>
      <c r="N718" s="733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 hidden="1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IFERROR(__xludf.DUMMYFUNCTION("IMPORTRANGE(""https://docs.google.com/spreadsheets/d/1XWAQStnk-4SwqDmLtmXYiTMKHgktTP8We1SCoS47DrQ/edit?usp=sharing"",""จัดที่ดิน!BG29"")"),0)</f>
        <v>0</v>
      </c>
      <c r="K719" s="466"/>
      <c r="L719" s="733"/>
      <c r="M719" s="189"/>
      <c r="N719" s="733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 hidden="1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IFERROR(__xludf.DUMMYFUNCTION("IMPORTRANGE(""https://docs.google.com/spreadsheets/d/1QqKyyYR6Q21VydFLVH3TRQUabQu_ym0Zz7PgGX0-kHA/edit?usp=sharing"",""แผน!II29"")"),0)</f>
        <v>0</v>
      </c>
      <c r="J720" s="270">
        <f ca="1">IFERROR(__xludf.DUMMYFUNCTION("IMPORTRANGE(""https://docs.google.com/spreadsheets/d/1XWAQStnk-4SwqDmLtmXYiTMKHgktTP8We1SCoS47DrQ/edit?usp=sharing"",""จัดที่ดิน!BH29"")"),0)</f>
        <v>0</v>
      </c>
      <c r="K720" s="466">
        <f t="shared" ref="K720:K723" ca="1" si="291">IF(I720&gt;0,J720*100/I720,0)</f>
        <v>0</v>
      </c>
      <c r="L720" s="733"/>
      <c r="M720" s="189"/>
      <c r="N720" s="733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 hidden="1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IFERROR(__xludf.DUMMYFUNCTION("IMPORTRANGE(""https://docs.google.com/spreadsheets/d/1QqKyyYR6Q21VydFLVH3TRQUabQu_ym0Zz7PgGX0-kHA/edit?usp=sharing"",""แผน!IJ29"")"),0)</f>
        <v>0</v>
      </c>
      <c r="J721" s="648">
        <f ca="1">J723+J726</f>
        <v>0</v>
      </c>
      <c r="K721" s="195">
        <f t="shared" ca="1" si="291"/>
        <v>0</v>
      </c>
      <c r="L721" s="733"/>
      <c r="M721" s="189"/>
      <c r="N721" s="733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 hidden="1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IFERROR(__xludf.DUMMYFUNCTION("IMPORTRANGE(""https://docs.google.com/spreadsheets/d/1QqKyyYR6Q21VydFLVH3TRQUabQu_ym0Zz7PgGX0-kHA/edit?usp=sharing"",""แผน!IK29"")"),0)</f>
        <v>0</v>
      </c>
      <c r="J722" s="648">
        <f ca="1">J725+J728</f>
        <v>0</v>
      </c>
      <c r="K722" s="195">
        <f t="shared" ca="1" si="291"/>
        <v>0</v>
      </c>
      <c r="L722" s="466"/>
      <c r="M722" s="189"/>
      <c r="N722" s="733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 hidden="1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IFERROR(__xludf.DUMMYFUNCTION("IMPORTRANGE(""https://docs.google.com/spreadsheets/d/1QqKyyYR6Q21VydFLVH3TRQUabQu_ym0Zz7PgGX0-kHA/edit?usp=sharing"",""แผน!IL29"")"),0)</f>
        <v>0</v>
      </c>
      <c r="J723" s="270">
        <f ca="1">IFERROR(__xludf.DUMMYFUNCTION("IMPORTRANGE(""https://docs.google.com/spreadsheets/d/1XWAQStnk-4SwqDmLtmXYiTMKHgktTP8We1SCoS47DrQ/edit?usp=sharing"",""จัดที่ดิน!BM29"")"),0)</f>
        <v>0</v>
      </c>
      <c r="K723" s="466">
        <f t="shared" ca="1" si="291"/>
        <v>0</v>
      </c>
      <c r="L723" s="466"/>
      <c r="M723" s="189"/>
      <c r="N723" s="733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 hidden="1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IFERROR(__xludf.DUMMYFUNCTION("IMPORTRANGE(""https://docs.google.com/spreadsheets/d/1XWAQStnk-4SwqDmLtmXYiTMKHgktTP8We1SCoS47DrQ/edit?usp=sharing"",""จัดที่ดิน!BN29"")"),0)</f>
        <v>0</v>
      </c>
      <c r="K724" s="466"/>
      <c r="L724" s="733"/>
      <c r="M724" s="189"/>
      <c r="N724" s="733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 hidden="1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IFERROR(__xludf.DUMMYFUNCTION("IMPORTRANGE(""https://docs.google.com/spreadsheets/d/1QqKyyYR6Q21VydFLVH3TRQUabQu_ym0Zz7PgGX0-kHA/edit?usp=sharing"",""แผน!IM29"")"),0)</f>
        <v>0</v>
      </c>
      <c r="J725" s="270">
        <f ca="1">IFERROR(__xludf.DUMMYFUNCTION("IMPORTRANGE(""https://docs.google.com/spreadsheets/d/1XWAQStnk-4SwqDmLtmXYiTMKHgktTP8We1SCoS47DrQ/edit?usp=sharing"",""จัดที่ดิน!BO29"")"),0)</f>
        <v>0</v>
      </c>
      <c r="K725" s="466">
        <f t="shared" ref="K725:K726" ca="1" si="292">IF(I725&gt;0,J725*100/I725,0)</f>
        <v>0</v>
      </c>
      <c r="L725" s="733"/>
      <c r="M725" s="189"/>
      <c r="N725" s="733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 hidden="1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IFERROR(__xludf.DUMMYFUNCTION("IMPORTRANGE(""https://docs.google.com/spreadsheets/d/1QqKyyYR6Q21VydFLVH3TRQUabQu_ym0Zz7PgGX0-kHA/edit?usp=sharing"",""แผน!IN29"")"),0)</f>
        <v>0</v>
      </c>
      <c r="J726" s="270">
        <f ca="1">IFERROR(__xludf.DUMMYFUNCTION("IMPORTRANGE(""https://docs.google.com/spreadsheets/d/1XWAQStnk-4SwqDmLtmXYiTMKHgktTP8We1SCoS47DrQ/edit?usp=sharing"",""จัดที่ดิน!BR29"")"),0)</f>
        <v>0</v>
      </c>
      <c r="K726" s="466">
        <f t="shared" ca="1" si="292"/>
        <v>0</v>
      </c>
      <c r="L726" s="466"/>
      <c r="M726" s="189"/>
      <c r="N726" s="733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 hidden="1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IFERROR(__xludf.DUMMYFUNCTION("IMPORTRANGE(""https://docs.google.com/spreadsheets/d/1XWAQStnk-4SwqDmLtmXYiTMKHgktTP8We1SCoS47DrQ/edit?usp=sharing"",""จัดที่ดิน!BS29"")"),0)</f>
        <v>0</v>
      </c>
      <c r="K727" s="466"/>
      <c r="L727" s="733"/>
      <c r="M727" s="189"/>
      <c r="N727" s="733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 hidden="1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IFERROR(__xludf.DUMMYFUNCTION("IMPORTRANGE(""https://docs.google.com/spreadsheets/d/1QqKyyYR6Q21VydFLVH3TRQUabQu_ym0Zz7PgGX0-kHA/edit?usp=sharing"",""แผน!IO29"")"),0)</f>
        <v>0</v>
      </c>
      <c r="J728" s="270">
        <f ca="1">IFERROR(__xludf.DUMMYFUNCTION("IMPORTRANGE(""https://docs.google.com/spreadsheets/d/1XWAQStnk-4SwqDmLtmXYiTMKHgktTP8We1SCoS47DrQ/edit?usp=sharing"",""จัดที่ดิน!BT29"")"),0)</f>
        <v>0</v>
      </c>
      <c r="K728" s="466">
        <f t="shared" ref="K728:K729" ca="1" si="293">IF(I728&gt;0,J728*100/I728,0)</f>
        <v>0</v>
      </c>
      <c r="L728" s="733"/>
      <c r="M728" s="189"/>
      <c r="N728" s="733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 hidden="1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IFERROR(__xludf.DUMMYFUNCTION("IMPORTRANGE(""https://docs.google.com/spreadsheets/d/1QqKyyYR6Q21VydFLVH3TRQUabQu_ym0Zz7PgGX0-kHA/edit?usp=sharing"",""แผน!IP29"")"),0)</f>
        <v>0</v>
      </c>
      <c r="J729" s="648">
        <f>J732+J735</f>
        <v>0</v>
      </c>
      <c r="K729" s="195">
        <f t="shared" ca="1" si="293"/>
        <v>0</v>
      </c>
      <c r="L729" s="466"/>
      <c r="M729" s="189"/>
      <c r="N729" s="733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 hidden="1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0</v>
      </c>
      <c r="K730" s="466"/>
      <c r="L730" s="733"/>
      <c r="M730" s="466"/>
      <c r="N730" s="733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 hidden="1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0</v>
      </c>
      <c r="K731" s="466"/>
      <c r="L731" s="733"/>
      <c r="M731" s="466"/>
      <c r="N731" s="733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 hidden="1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0</v>
      </c>
      <c r="K732" s="466"/>
      <c r="L732" s="733"/>
      <c r="M732" s="466"/>
      <c r="N732" s="733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 hidden="1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0</v>
      </c>
      <c r="K733" s="466"/>
      <c r="L733" s="733"/>
      <c r="M733" s="466"/>
      <c r="N733" s="733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 hidden="1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0</v>
      </c>
      <c r="K734" s="466"/>
      <c r="L734" s="733"/>
      <c r="M734" s="466"/>
      <c r="N734" s="733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 hidden="1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0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4">L738+L739</f>
        <v>0</v>
      </c>
      <c r="M737" s="614">
        <f t="shared" si="294"/>
        <v>0</v>
      </c>
      <c r="N737" s="614">
        <f t="shared" si="294"/>
        <v>0</v>
      </c>
      <c r="O737" s="614">
        <f t="shared" ref="O737:O742" si="295">IF(L737&gt;0,N737*100/L737,0)</f>
        <v>0</v>
      </c>
      <c r="P737" s="614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6"/>
      <c r="D740" s="805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8">L741+L742</f>
        <v>0</v>
      </c>
      <c r="M740" s="614">
        <f t="shared" si="298"/>
        <v>0</v>
      </c>
      <c r="N740" s="614">
        <f t="shared" si="298"/>
        <v>0</v>
      </c>
      <c r="O740" s="614">
        <f t="shared" si="295"/>
        <v>0</v>
      </c>
      <c r="P740" s="614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6"/>
      <c r="D747" s="805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299">L748+L749</f>
        <v>0</v>
      </c>
      <c r="M747" s="614">
        <f t="shared" si="299"/>
        <v>0</v>
      </c>
      <c r="N747" s="614">
        <f t="shared" si="299"/>
        <v>0</v>
      </c>
      <c r="O747" s="614">
        <f t="shared" ref="O747:O749" si="300">IF(L747&gt;0,N747*100/L747,0)</f>
        <v>0</v>
      </c>
      <c r="P747" s="614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2">L755+L756</f>
        <v>0</v>
      </c>
      <c r="M754" s="614">
        <f t="shared" si="302"/>
        <v>0</v>
      </c>
      <c r="N754" s="614">
        <f t="shared" si="302"/>
        <v>0</v>
      </c>
      <c r="O754" s="614">
        <f t="shared" ref="O754:O759" si="303">IF(L754&gt;0,N754*100/L754,0)</f>
        <v>0</v>
      </c>
      <c r="P754" s="614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6"/>
      <c r="D757" s="805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6">L758+L759</f>
        <v>0</v>
      </c>
      <c r="M757" s="614">
        <f t="shared" si="306"/>
        <v>0</v>
      </c>
      <c r="N757" s="614">
        <f t="shared" si="306"/>
        <v>0</v>
      </c>
      <c r="O757" s="614">
        <f t="shared" si="303"/>
        <v>0</v>
      </c>
      <c r="P757" s="614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6"/>
      <c r="D764" s="805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7">L765+L766</f>
        <v>0</v>
      </c>
      <c r="M764" s="614">
        <f t="shared" si="307"/>
        <v>0</v>
      </c>
      <c r="N764" s="614">
        <f t="shared" si="307"/>
        <v>0</v>
      </c>
      <c r="O764" s="614">
        <f t="shared" ref="O764:O766" si="308">IF(L764&gt;0,N764*100/L764,0)</f>
        <v>0</v>
      </c>
      <c r="P764" s="614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0">L771+L772</f>
        <v>0</v>
      </c>
      <c r="M770" s="614">
        <f t="shared" si="310"/>
        <v>0</v>
      </c>
      <c r="N770" s="614">
        <f t="shared" si="310"/>
        <v>0</v>
      </c>
      <c r="O770" s="614">
        <f t="shared" ref="O770:O775" si="311">IF(L770&gt;0,N770*100/L770,0)</f>
        <v>0</v>
      </c>
      <c r="P770" s="614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6"/>
      <c r="D773" s="805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4">L774+L775</f>
        <v>0</v>
      </c>
      <c r="M773" s="614">
        <f t="shared" si="314"/>
        <v>0</v>
      </c>
      <c r="N773" s="614">
        <f t="shared" si="314"/>
        <v>0</v>
      </c>
      <c r="O773" s="614">
        <f t="shared" si="311"/>
        <v>0</v>
      </c>
      <c r="P773" s="614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6"/>
      <c r="D780" s="805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5">L781+L782</f>
        <v>0</v>
      </c>
      <c r="M780" s="614">
        <f t="shared" si="315"/>
        <v>0</v>
      </c>
      <c r="N780" s="614">
        <f t="shared" si="315"/>
        <v>0</v>
      </c>
      <c r="O780" s="614">
        <f t="shared" ref="O780:O782" si="316">IF(L780&gt;0,N780*100/L780,0)</f>
        <v>0</v>
      </c>
      <c r="P780" s="614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871" t="s">
        <v>46</v>
      </c>
      <c r="I785" s="872">
        <f t="shared" ref="I785:J785" ca="1" si="318">I801+I803</f>
        <v>5000</v>
      </c>
      <c r="J785" s="872">
        <f t="shared" ca="1" si="318"/>
        <v>1624</v>
      </c>
      <c r="K785" s="873">
        <f ca="1">IF(I785&gt;0,J785*100/I785,0)</f>
        <v>32.479999999999997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874" t="s">
        <v>12</v>
      </c>
      <c r="I786" s="875"/>
      <c r="J786" s="875"/>
      <c r="K786" s="876"/>
      <c r="L786" s="195">
        <f t="shared" ref="L786:N786" ca="1" si="319">L787+L788</f>
        <v>319200</v>
      </c>
      <c r="M786" s="195">
        <f t="shared" si="319"/>
        <v>0</v>
      </c>
      <c r="N786" s="195">
        <f t="shared" si="319"/>
        <v>178871</v>
      </c>
      <c r="O786" s="195">
        <f t="shared" ref="O786:O791" ca="1" si="320">IF(L786&gt;0,N786*100/L786,0)</f>
        <v>56.037280701754383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6"/>
      <c r="D787" s="687"/>
      <c r="E787" s="726" t="s">
        <v>184</v>
      </c>
      <c r="F787" s="726"/>
      <c r="G787" s="568"/>
      <c r="H787" s="877" t="s">
        <v>12</v>
      </c>
      <c r="I787" s="875"/>
      <c r="J787" s="875"/>
      <c r="K787" s="87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6" t="s">
        <v>185</v>
      </c>
      <c r="F788" s="726"/>
      <c r="G788" s="568"/>
      <c r="H788" s="877" t="s">
        <v>12</v>
      </c>
      <c r="I788" s="875"/>
      <c r="J788" s="875"/>
      <c r="K788" s="876"/>
      <c r="L788" s="93">
        <f t="shared" ca="1" si="322"/>
        <v>319200</v>
      </c>
      <c r="M788" s="93">
        <f t="shared" si="322"/>
        <v>0</v>
      </c>
      <c r="N788" s="93">
        <f t="shared" si="322"/>
        <v>178871</v>
      </c>
      <c r="O788" s="93">
        <f t="shared" ca="1" si="320"/>
        <v>56.037280701754383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730"/>
      <c r="F789" s="730"/>
      <c r="G789" s="189"/>
      <c r="H789" s="878" t="s">
        <v>12</v>
      </c>
      <c r="I789" s="879"/>
      <c r="J789" s="879"/>
      <c r="K789" s="880"/>
      <c r="L789" s="466">
        <f t="shared" ref="L789:N789" ca="1" si="323">L790+L791</f>
        <v>319200</v>
      </c>
      <c r="M789" s="466">
        <f t="shared" si="323"/>
        <v>0</v>
      </c>
      <c r="N789" s="466">
        <f t="shared" si="323"/>
        <v>178871</v>
      </c>
      <c r="O789" s="466">
        <f t="shared" ca="1" si="320"/>
        <v>56.037280701754383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6" t="s">
        <v>184</v>
      </c>
      <c r="F790" s="726"/>
      <c r="G790" s="568"/>
      <c r="H790" s="877" t="s">
        <v>12</v>
      </c>
      <c r="I790" s="875"/>
      <c r="J790" s="875"/>
      <c r="K790" s="87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6" t="s">
        <v>185</v>
      </c>
      <c r="F791" s="726"/>
      <c r="G791" s="568"/>
      <c r="H791" s="877" t="s">
        <v>12</v>
      </c>
      <c r="I791" s="875"/>
      <c r="J791" s="875"/>
      <c r="K791" s="876"/>
      <c r="L791" s="93">
        <f ca="1">IFERROR(__xludf.DUMMYFUNCTION("IMPORTRANGE(""https://docs.google.com/spreadsheets/d/1QqKyyYR6Q21VydFLVH3TRQUabQu_ym0Zz7PgGX0-kHA/edit?usp=sharing"",""แผน!JJ29"")"),319200)</f>
        <v>319200</v>
      </c>
      <c r="M791" s="93">
        <v>0</v>
      </c>
      <c r="N791" s="93">
        <f>N792+N793+N794+N795</f>
        <v>178871</v>
      </c>
      <c r="O791" s="93">
        <f t="shared" ca="1" si="320"/>
        <v>56.037280701754383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730"/>
      <c r="D792" s="730"/>
      <c r="E792" s="730"/>
      <c r="F792" s="730" t="s">
        <v>186</v>
      </c>
      <c r="G792" s="189"/>
      <c r="H792" s="878" t="s">
        <v>12</v>
      </c>
      <c r="I792" s="875"/>
      <c r="J792" s="875"/>
      <c r="K792" s="876"/>
      <c r="L792" s="466"/>
      <c r="M792" s="466"/>
      <c r="N792" s="801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730"/>
      <c r="D793" s="730"/>
      <c r="E793" s="730"/>
      <c r="F793" s="730" t="s">
        <v>187</v>
      </c>
      <c r="G793" s="189"/>
      <c r="H793" s="878" t="s">
        <v>12</v>
      </c>
      <c r="I793" s="875"/>
      <c r="J793" s="875"/>
      <c r="K793" s="876"/>
      <c r="L793" s="466"/>
      <c r="M793" s="466"/>
      <c r="N793" s="801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730"/>
      <c r="D794" s="730"/>
      <c r="E794" s="730"/>
      <c r="F794" s="730" t="s">
        <v>188</v>
      </c>
      <c r="G794" s="189"/>
      <c r="H794" s="878" t="s">
        <v>12</v>
      </c>
      <c r="I794" s="875"/>
      <c r="J794" s="875"/>
      <c r="K794" s="876"/>
      <c r="L794" s="466"/>
      <c r="M794" s="466"/>
      <c r="N794" s="801">
        <v>63985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730"/>
      <c r="D795" s="730"/>
      <c r="E795" s="730"/>
      <c r="F795" s="730" t="s">
        <v>189</v>
      </c>
      <c r="G795" s="189"/>
      <c r="H795" s="878" t="s">
        <v>12</v>
      </c>
      <c r="I795" s="875"/>
      <c r="J795" s="875"/>
      <c r="K795" s="876"/>
      <c r="L795" s="466"/>
      <c r="M795" s="466"/>
      <c r="N795" s="801">
        <v>114886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730"/>
      <c r="D796" s="571" t="s">
        <v>21</v>
      </c>
      <c r="E796" s="730"/>
      <c r="F796" s="730"/>
      <c r="G796" s="189"/>
      <c r="H796" s="881" t="s">
        <v>12</v>
      </c>
      <c r="I796" s="879"/>
      <c r="J796" s="879"/>
      <c r="K796" s="880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6"/>
      <c r="D797" s="726"/>
      <c r="E797" s="726" t="s">
        <v>18</v>
      </c>
      <c r="F797" s="726"/>
      <c r="G797" s="568"/>
      <c r="H797" s="877" t="s">
        <v>12</v>
      </c>
      <c r="I797" s="879"/>
      <c r="J797" s="879"/>
      <c r="K797" s="88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6"/>
      <c r="D798" s="726"/>
      <c r="E798" s="726" t="s">
        <v>19</v>
      </c>
      <c r="F798" s="726"/>
      <c r="G798" s="568"/>
      <c r="H798" s="882" t="s">
        <v>12</v>
      </c>
      <c r="I798" s="879"/>
      <c r="J798" s="879"/>
      <c r="K798" s="88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883"/>
      <c r="I799" s="879"/>
      <c r="J799" s="879"/>
      <c r="K799" s="880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85"/>
      <c r="C800" s="585"/>
      <c r="D800" s="585"/>
      <c r="E800" s="593"/>
      <c r="F800" s="593" t="s">
        <v>320</v>
      </c>
      <c r="G800" s="729"/>
      <c r="H800" s="884" t="s">
        <v>34</v>
      </c>
      <c r="I800" s="879"/>
      <c r="J800" s="885">
        <f ca="1">IFERROR(__xludf.DUMMYFUNCTION("IMPORTRANGE(""https://docs.google.com/spreadsheets/d/1MaWodYyGHDf7siQLGxnXhG4mBNTNIuy296niS2xXulU/edit?usp=sharing"",""RTK!H29"")"),151)</f>
        <v>151</v>
      </c>
      <c r="K800" s="876"/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85"/>
      <c r="C801" s="585"/>
      <c r="D801" s="585"/>
      <c r="E801" s="593"/>
      <c r="F801" s="593"/>
      <c r="G801" s="729"/>
      <c r="H801" s="878" t="s">
        <v>46</v>
      </c>
      <c r="I801" s="885">
        <f ca="1">IFERROR(__xludf.DUMMYFUNCTION("IMPORTRANGE(""https://docs.google.com/spreadsheets/d/1MaWodYyGHDf7siQLGxnXhG4mBNTNIuy296niS2xXulU/edit?usp=sharing"",""RTK!G29"")"),5000)</f>
        <v>5000</v>
      </c>
      <c r="J801" s="886">
        <f ca="1">IFERROR(__xludf.DUMMYFUNCTION("IMPORTRANGE(""https://docs.google.com/spreadsheets/d/1MaWodYyGHDf7siQLGxnXhG4mBNTNIuy296niS2xXulU/edit?usp=sharing"",""RTK!I29"")"),1624)</f>
        <v>1624</v>
      </c>
      <c r="K801" s="887">
        <f ca="1">IF(I801&gt;0,J801*100/I801,0)</f>
        <v>32.479999999999997</v>
      </c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579"/>
      <c r="B802" s="581"/>
      <c r="C802" s="581"/>
      <c r="D802" s="581"/>
      <c r="E802" s="687"/>
      <c r="F802" s="783" t="s">
        <v>321</v>
      </c>
      <c r="G802" s="582"/>
      <c r="H802" s="884" t="s">
        <v>34</v>
      </c>
      <c r="I802" s="879"/>
      <c r="J802" s="885">
        <f ca="1">IFERROR(__xludf.DUMMYFUNCTION("IMPORTRANGE(""https://docs.google.com/spreadsheets/d/1MaWodYyGHDf7siQLGxnXhG4mBNTNIuy296niS2xXulU/edit?usp=sharing"",""RTK!L29"")"),0)</f>
        <v>0</v>
      </c>
      <c r="K802" s="876"/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>
      <c r="A803" s="579"/>
      <c r="B803" s="581"/>
      <c r="C803" s="581"/>
      <c r="D803" s="581"/>
      <c r="E803" s="687"/>
      <c r="F803" s="687"/>
      <c r="G803" s="582"/>
      <c r="H803" s="884" t="s">
        <v>46</v>
      </c>
      <c r="I803" s="885">
        <f ca="1">IFERROR(__xludf.DUMMYFUNCTION("IMPORTRANGE(""https://docs.google.com/spreadsheets/d/1MaWodYyGHDf7siQLGxnXhG4mBNTNIuy296niS2xXulU/edit?usp=sharing"",""RTK!K29"")"),0)</f>
        <v>0</v>
      </c>
      <c r="J803" s="886">
        <f ca="1">IFERROR(__xludf.DUMMYFUNCTION("IMPORTRANGE(""https://docs.google.com/spreadsheets/d/1MaWodYyGHDf7siQLGxnXhG4mBNTNIuy296niS2xXulU/edit?usp=sharing"",""RTK!M29"")"),0)</f>
        <v>0</v>
      </c>
      <c r="K803" s="887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 t="shared" si="327"/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8">L806+L807</f>
        <v>0</v>
      </c>
      <c r="M805" s="614">
        <f t="shared" si="328"/>
        <v>0</v>
      </c>
      <c r="N805" s="614">
        <f t="shared" si="328"/>
        <v>0</v>
      </c>
      <c r="O805" s="614">
        <f t="shared" ref="O805:O810" si="329">IF(L805&gt;0,N805*100/L805,0)</f>
        <v>0</v>
      </c>
      <c r="P805" s="614">
        <f t="shared" ref="P805:P810" si="330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2">L809+L810</f>
        <v>0</v>
      </c>
      <c r="M808" s="614">
        <f t="shared" si="332"/>
        <v>0</v>
      </c>
      <c r="N808" s="614">
        <f t="shared" si="332"/>
        <v>0</v>
      </c>
      <c r="O808" s="614">
        <f t="shared" si="329"/>
        <v>0</v>
      </c>
      <c r="P808" s="614">
        <f t="shared" si="330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3">L816+L817</f>
        <v>0</v>
      </c>
      <c r="M815" s="614">
        <f t="shared" si="333"/>
        <v>0</v>
      </c>
      <c r="N815" s="614">
        <f t="shared" si="333"/>
        <v>0</v>
      </c>
      <c r="O815" s="614">
        <f t="shared" ref="O815:O817" si="334">IF(L815&gt;0,N815*100/L815,0)</f>
        <v>0</v>
      </c>
      <c r="P815" s="614">
        <f t="shared" ref="P815:P817" si="335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55" t="s">
        <v>332</v>
      </c>
      <c r="B820" s="856"/>
      <c r="C820" s="856"/>
      <c r="D820" s="857"/>
      <c r="E820" s="856"/>
      <c r="F820" s="856"/>
      <c r="G820" s="858"/>
      <c r="H820" s="8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60"/>
      <c r="J820" s="860"/>
      <c r="K820" s="861"/>
      <c r="L820" s="861"/>
      <c r="M820" s="861"/>
      <c r="N820" s="861"/>
      <c r="O820" s="861"/>
      <c r="P820" s="86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IFERROR(__xludf.DUMMYFUNCTION("IMPORTRANGE(""https://docs.google.com/spreadsheets/d/19vJNZY_5yjcGF2XGBMNZRCAIB0Kwfpjp8YEOfu-bneM/edit?usp=sharing"",""งานกองทุน!D29"")"),21303672.5)</f>
        <v>21303672.5</v>
      </c>
      <c r="J821" s="270">
        <f ca="1">IFERROR(__xludf.DUMMYFUNCTION("IMPORTRANGE(""https://docs.google.com/spreadsheets/d/19vJNZY_5yjcGF2XGBMNZRCAIB0Kwfpjp8YEOfu-bneM/edit?usp=sharing"",""งานกองทุน!F29"")"),7435932.83)</f>
        <v>7435932.8300000001</v>
      </c>
      <c r="K821" s="466">
        <f t="shared" ref="K821:K828" ca="1" si="336">IF(I821&gt;0,J821*100/I821,0)</f>
        <v>34.904464617544228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IFERROR(__xludf.DUMMYFUNCTION("IMPORTRANGE(""https://docs.google.com/spreadsheets/d/19vJNZY_5yjcGF2XGBMNZRCAIB0Kwfpjp8YEOfu-bneM/edit?usp=sharing"",""งานกองทุน!C29"")"),831)</f>
        <v>831</v>
      </c>
      <c r="J822" s="270">
        <f ca="1">IFERROR(__xludf.DUMMYFUNCTION("IMPORTRANGE(""https://docs.google.com/spreadsheets/d/19vJNZY_5yjcGF2XGBMNZRCAIB0Kwfpjp8YEOfu-bneM/edit?usp=sharing"",""งานกองทุน!E29"")"),376)</f>
        <v>376</v>
      </c>
      <c r="K822" s="466">
        <f t="shared" ca="1" si="336"/>
        <v>45.246690734055356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IFERROR(__xludf.DUMMYFUNCTION("IMPORTRANGE(""https://docs.google.com/spreadsheets/d/19vJNZY_5yjcGF2XGBMNZRCAIB0Kwfpjp8YEOfu-bneM/edit?usp=sharing"",""งานกองทุน!I29"")"),18967351.47)</f>
        <v>18967351.469999999</v>
      </c>
      <c r="J823" s="270">
        <f ca="1">IFERROR(__xludf.DUMMYFUNCTION("IMPORTRANGE(""https://docs.google.com/spreadsheets/d/19vJNZY_5yjcGF2XGBMNZRCAIB0Kwfpjp8YEOfu-bneM/edit?usp=sharing"",""งานกองทุน!K29"")"),958227.54)</f>
        <v>958227.54</v>
      </c>
      <c r="K823" s="466">
        <f t="shared" ca="1" si="336"/>
        <v>5.0519838867097242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IFERROR(__xludf.DUMMYFUNCTION("IMPORTRANGE(""https://docs.google.com/spreadsheets/d/19vJNZY_5yjcGF2XGBMNZRCAIB0Kwfpjp8YEOfu-bneM/edit?usp=sharing"",""งานกองทุน!H29"")"),678)</f>
        <v>678</v>
      </c>
      <c r="J824" s="270">
        <f ca="1">IFERROR(__xludf.DUMMYFUNCTION("IMPORTRANGE(""https://docs.google.com/spreadsheets/d/19vJNZY_5yjcGF2XGBMNZRCAIB0Kwfpjp8YEOfu-bneM/edit?usp=sharing"",""งานกองทุน!J29"")"),155)</f>
        <v>155</v>
      </c>
      <c r="K824" s="466">
        <f t="shared" ca="1" si="336"/>
        <v>22.861356932153392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IFERROR(__xludf.DUMMYFUNCTION("IMPORTRANGE(""https://docs.google.com/spreadsheets/d/19vJNZY_5yjcGF2XGBMNZRCAIB0Kwfpjp8YEOfu-bneM/edit?usp=sharing"",""งานกองทุน!N29"")"),1520163.09)</f>
        <v>1520163.09</v>
      </c>
      <c r="J825" s="270">
        <f ca="1">IFERROR(__xludf.DUMMYFUNCTION("IMPORTRANGE(""https://docs.google.com/spreadsheets/d/19vJNZY_5yjcGF2XGBMNZRCAIB0Kwfpjp8YEOfu-bneM/edit?usp=sharing"",""งานกองทุน!P29"")"),390017.62)</f>
        <v>390017.62</v>
      </c>
      <c r="K825" s="466">
        <f t="shared" ca="1" si="336"/>
        <v>25.656301127532309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IFERROR(__xludf.DUMMYFUNCTION("IMPORTRANGE(""https://docs.google.com/spreadsheets/d/19vJNZY_5yjcGF2XGBMNZRCAIB0Kwfpjp8YEOfu-bneM/edit?usp=sharing"",""งานกองทุน!M29"")"),76)</f>
        <v>76</v>
      </c>
      <c r="J826" s="270">
        <f ca="1">IFERROR(__xludf.DUMMYFUNCTION("IMPORTRANGE(""https://docs.google.com/spreadsheets/d/19vJNZY_5yjcGF2XGBMNZRCAIB0Kwfpjp8YEOfu-bneM/edit?usp=sharing"",""งานกองทุน!O29"")"),34)</f>
        <v>34</v>
      </c>
      <c r="K826" s="466">
        <f t="shared" ca="1" si="336"/>
        <v>44.736842105263158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IFERROR(__xludf.DUMMYFUNCTION("IMPORTRANGE(""https://docs.google.com/spreadsheets/d/19vJNZY_5yjcGF2XGBMNZRCAIB0Kwfpjp8YEOfu-bneM/edit?usp=sharing"",""งานกองทุน!S29"")"),14130000)</f>
        <v>14130000</v>
      </c>
      <c r="J827" s="270">
        <f ca="1">IFERROR(__xludf.DUMMYFUNCTION("IMPORTRANGE(""https://docs.google.com/spreadsheets/d/19vJNZY_5yjcGF2XGBMNZRCAIB0Kwfpjp8YEOfu-bneM/edit?usp=sharing"",""งานกองทุน!U29"")"),6840000)</f>
        <v>6840000</v>
      </c>
      <c r="K827" s="466">
        <f t="shared" ca="1" si="336"/>
        <v>48.407643312101911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IFERROR(__xludf.DUMMYFUNCTION("IMPORTRANGE(""https://docs.google.com/spreadsheets/d/19vJNZY_5yjcGF2XGBMNZRCAIB0Kwfpjp8YEOfu-bneM/edit?usp=sharing"",""งานกองทุน!R29"")"),565)</f>
        <v>565</v>
      </c>
      <c r="J828" s="469">
        <f ca="1">IFERROR(__xludf.DUMMYFUNCTION("IMPORTRANGE(""https://docs.google.com/spreadsheets/d/19vJNZY_5yjcGF2XGBMNZRCAIB0Kwfpjp8YEOfu-bneM/edit?usp=sharing"",""งานกองทุน!T29"")"),145)</f>
        <v>145</v>
      </c>
      <c r="K828" s="470">
        <f t="shared" ca="1" si="336"/>
        <v>25.663716814159294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860A4-D26A-4E31-B67C-F2344078404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4" customWidth="1"/>
    <col min="4" max="6" width="5.85546875" style="804" customWidth="1"/>
    <col min="7" max="7" width="56.42578125" style="804" customWidth="1"/>
    <col min="8" max="8" width="9.42578125" style="804" customWidth="1"/>
    <col min="9" max="9" width="18.7109375" style="804" bestFit="1" customWidth="1"/>
    <col min="10" max="10" width="16.85546875" style="804" bestFit="1" customWidth="1"/>
    <col min="11" max="11" width="12.5703125" style="804" customWidth="1"/>
    <col min="12" max="13" width="20.28515625" style="804" bestFit="1" customWidth="1"/>
    <col min="14" max="14" width="21.28515625" style="804" bestFit="1" customWidth="1"/>
    <col min="15" max="16" width="17.5703125" style="804" customWidth="1"/>
    <col min="17" max="16384" width="12.5703125" style="804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354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7425653</v>
      </c>
      <c r="M8" s="22">
        <f t="shared" ca="1" si="0"/>
        <v>3736144</v>
      </c>
      <c r="N8" s="22">
        <f t="shared" ca="1" si="0"/>
        <v>2812892.8099999996</v>
      </c>
      <c r="O8" s="22">
        <f t="shared" ref="O8:O16" ca="1" si="1">IF(L8&gt;0,N8*100/L8,0)</f>
        <v>37.880746784154866</v>
      </c>
      <c r="P8" s="22">
        <f t="shared" ref="P8:P16" ca="1" si="2">IF(M8&gt;0,N8*100/M8,0)</f>
        <v>75.288661518399707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7425653</v>
      </c>
      <c r="M10" s="30">
        <f t="shared" ca="1" si="3"/>
        <v>3736144</v>
      </c>
      <c r="N10" s="30">
        <f t="shared" ca="1" si="3"/>
        <v>2812892.8099999996</v>
      </c>
      <c r="O10" s="30">
        <f t="shared" ca="1" si="1"/>
        <v>37.880746784154866</v>
      </c>
      <c r="P10" s="30">
        <f t="shared" ca="1" si="2"/>
        <v>75.288661518399707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6921353</v>
      </c>
      <c r="M11" s="466">
        <f t="shared" ca="1" si="4"/>
        <v>3231844</v>
      </c>
      <c r="N11" s="466">
        <f t="shared" ca="1" si="4"/>
        <v>2308592.8099999996</v>
      </c>
      <c r="O11" s="466">
        <f t="shared" ca="1" si="1"/>
        <v>33.354646266416403</v>
      </c>
      <c r="P11" s="466">
        <f t="shared" ca="1" si="2"/>
        <v>71.432680847219103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6921353</v>
      </c>
      <c r="M13" s="93">
        <f t="shared" ca="1" si="5"/>
        <v>3231844</v>
      </c>
      <c r="N13" s="93">
        <f t="shared" ca="1" si="5"/>
        <v>2308592.8099999996</v>
      </c>
      <c r="O13" s="93">
        <f t="shared" ca="1" si="1"/>
        <v>33.354646266416403</v>
      </c>
      <c r="P13" s="93">
        <f t="shared" ca="1" si="2"/>
        <v>71.432680847219103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504300</v>
      </c>
      <c r="M14" s="466">
        <f t="shared" ca="1" si="6"/>
        <v>504300</v>
      </c>
      <c r="N14" s="466">
        <f t="shared" ca="1" si="6"/>
        <v>504300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504300</v>
      </c>
      <c r="M16" s="52">
        <f t="shared" ca="1" si="7"/>
        <v>504300</v>
      </c>
      <c r="N16" s="52">
        <f t="shared" ca="1" si="7"/>
        <v>504300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4499887</v>
      </c>
      <c r="M18" s="22">
        <f t="shared" ca="1" si="8"/>
        <v>3736144</v>
      </c>
      <c r="N18" s="22">
        <f t="shared" ca="1" si="8"/>
        <v>2162660.11</v>
      </c>
      <c r="O18" s="22">
        <f t="shared" ref="O18:O26" ca="1" si="9">IF(L18&gt;0,N18*100/L18,0)</f>
        <v>48.060320403601246</v>
      </c>
      <c r="P18" s="22">
        <f t="shared" ref="P18:P26" ca="1" si="10">IF(M18&gt;0,N18*100/M18,0)</f>
        <v>57.884816805776225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4499887</v>
      </c>
      <c r="M20" s="30">
        <f t="shared" ca="1" si="11"/>
        <v>3736144</v>
      </c>
      <c r="N20" s="30">
        <f t="shared" ca="1" si="11"/>
        <v>2162660.11</v>
      </c>
      <c r="O20" s="30">
        <f t="shared" ca="1" si="9"/>
        <v>48.060320403601246</v>
      </c>
      <c r="P20" s="30">
        <f t="shared" ca="1" si="10"/>
        <v>57.884816805776225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3995587</v>
      </c>
      <c r="M21" s="466">
        <f t="shared" ca="1" si="12"/>
        <v>3231844</v>
      </c>
      <c r="N21" s="466">
        <f t="shared" ca="1" si="12"/>
        <v>1658360.1099999999</v>
      </c>
      <c r="O21" s="466">
        <f t="shared" ca="1" si="9"/>
        <v>41.504792912781028</v>
      </c>
      <c r="P21" s="466">
        <f t="shared" ca="1" si="10"/>
        <v>51.313123715129812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3995587</v>
      </c>
      <c r="M23" s="93">
        <f t="shared" ca="1" si="13"/>
        <v>3231844</v>
      </c>
      <c r="N23" s="93">
        <f t="shared" ca="1" si="13"/>
        <v>1658360.1099999999</v>
      </c>
      <c r="O23" s="93">
        <f t="shared" ca="1" si="9"/>
        <v>41.504792912781028</v>
      </c>
      <c r="P23" s="93">
        <f t="shared" ca="1" si="10"/>
        <v>51.313123715129812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504300</v>
      </c>
      <c r="M24" s="466">
        <f t="shared" ca="1" si="14"/>
        <v>504300</v>
      </c>
      <c r="N24" s="466">
        <f t="shared" ca="1" si="14"/>
        <v>504300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504300</v>
      </c>
      <c r="M26" s="52">
        <f t="shared" ca="1" si="15"/>
        <v>504300</v>
      </c>
      <c r="N26" s="52">
        <f t="shared" ca="1" si="15"/>
        <v>504300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2925766</v>
      </c>
      <c r="M28" s="22">
        <f t="shared" si="16"/>
        <v>0</v>
      </c>
      <c r="N28" s="22">
        <f t="shared" si="16"/>
        <v>650232.69999999995</v>
      </c>
      <c r="O28" s="22">
        <f t="shared" ref="O28:O37" ca="1" si="17">IF(L28&gt;0,N28*100/L28,0)</f>
        <v>22.224357655396908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2925766</v>
      </c>
      <c r="M30" s="30">
        <f t="shared" si="19"/>
        <v>0</v>
      </c>
      <c r="N30" s="30">
        <f t="shared" si="19"/>
        <v>650232.69999999995</v>
      </c>
      <c r="O30" s="30">
        <f t="shared" ca="1" si="17"/>
        <v>22.224357655396908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2925766</v>
      </c>
      <c r="M31" s="466">
        <f t="shared" si="20"/>
        <v>0</v>
      </c>
      <c r="N31" s="466">
        <f t="shared" si="20"/>
        <v>650232.69999999995</v>
      </c>
      <c r="O31" s="466">
        <f t="shared" ca="1" si="17"/>
        <v>22.224357655396908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2925766</v>
      </c>
      <c r="M33" s="93">
        <f t="shared" si="21"/>
        <v>0</v>
      </c>
      <c r="N33" s="93">
        <f t="shared" si="21"/>
        <v>650232.69999999995</v>
      </c>
      <c r="O33" s="93">
        <f t="shared" ca="1" si="17"/>
        <v>22.224357655396908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4499887</v>
      </c>
      <c r="M37" s="812">
        <f t="shared" ca="1" si="24"/>
        <v>3736144</v>
      </c>
      <c r="N37" s="812">
        <f t="shared" ca="1" si="24"/>
        <v>2162660.11</v>
      </c>
      <c r="O37" s="812">
        <f t="shared" ca="1" si="17"/>
        <v>48.060320403601246</v>
      </c>
      <c r="P37" s="812">
        <f t="shared" ca="1" si="18"/>
        <v>57.884816805776225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794042</v>
      </c>
      <c r="M41" s="85">
        <f t="shared" ca="1" si="25"/>
        <v>807109</v>
      </c>
      <c r="N41" s="85">
        <f t="shared" ca="1" si="25"/>
        <v>385952</v>
      </c>
      <c r="O41" s="85">
        <f t="shared" ref="O41:O49" ca="1" si="26">IF(L41&gt;0,N41*100/L41,0)</f>
        <v>48.605993133864459</v>
      </c>
      <c r="P41" s="85">
        <f t="shared" ref="P41:P49" ca="1" si="27">IF(M41&gt;0,N41*100/M41,0)</f>
        <v>47.81906780868507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794042</v>
      </c>
      <c r="M43" s="92">
        <f t="shared" ca="1" si="28"/>
        <v>807109</v>
      </c>
      <c r="N43" s="92">
        <f t="shared" ca="1" si="28"/>
        <v>385952</v>
      </c>
      <c r="O43" s="92">
        <f t="shared" ca="1" si="26"/>
        <v>48.605993133864459</v>
      </c>
      <c r="P43" s="92">
        <f t="shared" ca="1" si="27"/>
        <v>47.81906780868507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794042</v>
      </c>
      <c r="M44" s="466">
        <f t="shared" ca="1" si="29"/>
        <v>807109</v>
      </c>
      <c r="N44" s="466">
        <f t="shared" ca="1" si="29"/>
        <v>385952</v>
      </c>
      <c r="O44" s="466">
        <f t="shared" ca="1" si="26"/>
        <v>48.605993133864459</v>
      </c>
      <c r="P44" s="466">
        <f t="shared" ca="1" si="27"/>
        <v>47.81906780868507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IFERROR(__xludf.DUMMYFUNCTION("IMPORTRANGE(""https://docs.google.com/spreadsheets/d/1MeEWN-I1oV_STSDYn1IFDPWt_1FKiwhDph83XaGc0o0/edit?usp=sharing"",""งบพรบ!M30"")"),794042)</f>
        <v>794042</v>
      </c>
      <c r="M46" s="93">
        <f ca="1">IFERROR(__xludf.DUMMYFUNCTION("IMPORTRANGE(""https://docs.google.com/spreadsheets/d/1MeEWN-I1oV_STSDYn1IFDPWt_1FKiwhDph83XaGc0o0/edit?usp=sharing"",""งบพรบ!R30"")"),807109)</f>
        <v>807109</v>
      </c>
      <c r="N46" s="93">
        <f ca="1">IFERROR(__xludf.DUMMYFUNCTION("IMPORTRANGE(""https://docs.google.com/spreadsheets/d/1MeEWN-I1oV_STSDYn1IFDPWt_1FKiwhDph83XaGc0o0/edit?usp=sharing"",""งบพรบ!T30"")"),385952)</f>
        <v>385952</v>
      </c>
      <c r="O46" s="93">
        <f t="shared" ca="1" si="26"/>
        <v>48.605993133864459</v>
      </c>
      <c r="P46" s="93">
        <f t="shared" ca="1" si="27"/>
        <v>47.81906780868507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IFERROR(__xludf.DUMMYFUNCTION("IMPORTRANGE(""https://docs.google.com/spreadsheets/d/1MeEWN-I1oV_STSDYn1IFDPWt_1FKiwhDph83XaGc0o0/edit?usp=sharing"",""งบพรบ!P30"")"),0)</f>
        <v>0</v>
      </c>
      <c r="M49" s="52">
        <f ca="1">IFERROR(__xludf.DUMMYFUNCTION("IMPORTRANGE(""https://docs.google.com/spreadsheets/d/1MeEWN-I1oV_STSDYn1IFDPWt_1FKiwhDph83XaGc0o0/edit?usp=sharing"",""งบพรบ!S30"")"),0)</f>
        <v>0</v>
      </c>
      <c r="N49" s="52">
        <f ca="1">IFERROR(__xludf.DUMMYFUNCTION("IMPORTRANGE(""https://docs.google.com/spreadsheets/d/1MeEWN-I1oV_STSDYn1IFDPWt_1FKiwhDph83XaGc0o0/edit?usp=sharing"",""งบพรบ!U30"")"),0)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1135900</v>
      </c>
      <c r="M53" s="116">
        <f t="shared" ca="1" si="31"/>
        <v>939425</v>
      </c>
      <c r="N53" s="116">
        <f t="shared" ca="1" si="31"/>
        <v>762499.65</v>
      </c>
      <c r="O53" s="116">
        <f t="shared" ref="O53:O61" ca="1" si="32">IF(L53&gt;0,N53*100/L53,0)</f>
        <v>67.127357161721989</v>
      </c>
      <c r="P53" s="116">
        <f t="shared" ref="P53:P61" ca="1" si="33">IF(M53&gt;0,N53*100/M53,0)</f>
        <v>81.166633845171248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1135900</v>
      </c>
      <c r="M55" s="123">
        <f t="shared" ca="1" si="34"/>
        <v>939425</v>
      </c>
      <c r="N55" s="123">
        <f t="shared" ca="1" si="34"/>
        <v>762499.65</v>
      </c>
      <c r="O55" s="123">
        <f t="shared" ca="1" si="32"/>
        <v>67.127357161721989</v>
      </c>
      <c r="P55" s="123">
        <f t="shared" ca="1" si="33"/>
        <v>81.166633845171248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785900</v>
      </c>
      <c r="M56" s="466">
        <f t="shared" ca="1" si="35"/>
        <v>589425</v>
      </c>
      <c r="N56" s="466">
        <f t="shared" ca="1" si="35"/>
        <v>412499.65</v>
      </c>
      <c r="O56" s="466">
        <f t="shared" ca="1" si="32"/>
        <v>52.487549306527548</v>
      </c>
      <c r="P56" s="466">
        <f t="shared" ca="1" si="33"/>
        <v>69.983399075370059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IFERROR(__xludf.DUMMYFUNCTION("IMPORTRANGE(""https://docs.google.com/spreadsheets/d/1MeEWN-I1oV_STSDYn1IFDPWt_1FKiwhDph83XaGc0o0/edit?usp=sharing"",""งบพรบ!W30"")"),785900)</f>
        <v>785900</v>
      </c>
      <c r="M58" s="93">
        <f ca="1">IFERROR(__xludf.DUMMYFUNCTION("IMPORTRANGE(""https://docs.google.com/spreadsheets/d/1MeEWN-I1oV_STSDYn1IFDPWt_1FKiwhDph83XaGc0o0/edit?usp=sharing"",""งบพรบ!AB30"")"),589425)</f>
        <v>589425</v>
      </c>
      <c r="N58" s="93">
        <f ca="1">IFERROR(__xludf.DUMMYFUNCTION("IMPORTRANGE(""https://docs.google.com/spreadsheets/d/1MeEWN-I1oV_STSDYn1IFDPWt_1FKiwhDph83XaGc0o0/edit?usp=sharing"",""งบพรบ!AD30"")"),412499.65)</f>
        <v>412499.65</v>
      </c>
      <c r="O58" s="93">
        <f t="shared" ca="1" si="32"/>
        <v>52.487549306527548</v>
      </c>
      <c r="P58" s="93">
        <f t="shared" ca="1" si="33"/>
        <v>69.983399075370059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350000</v>
      </c>
      <c r="M59" s="466">
        <f t="shared" ca="1" si="36"/>
        <v>350000</v>
      </c>
      <c r="N59" s="466">
        <f t="shared" ca="1" si="36"/>
        <v>350000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IFERROR(__xludf.DUMMYFUNCTION("IMPORTRANGE(""https://docs.google.com/spreadsheets/d/1MeEWN-I1oV_STSDYn1IFDPWt_1FKiwhDph83XaGc0o0/edit?usp=sharing"",""งบพรบ!Z30"")"),350000)</f>
        <v>350000</v>
      </c>
      <c r="M61" s="52">
        <f ca="1">IFERROR(__xludf.DUMMYFUNCTION("IMPORTRANGE(""https://docs.google.com/spreadsheets/d/1MeEWN-I1oV_STSDYn1IFDPWt_1FKiwhDph83XaGc0o0/edit?usp=sharing"",""งบพรบ!AC30"")"),350000)</f>
        <v>350000</v>
      </c>
      <c r="N61" s="52">
        <f ca="1">IFERROR(__xludf.DUMMYFUNCTION("IMPORTRANGE(""https://docs.google.com/spreadsheets/d/1MeEWN-I1oV_STSDYn1IFDPWt_1FKiwhDph83XaGc0o0/edit?usp=sharing"",""งบพรบ!AE30"")"),350000)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32</v>
      </c>
      <c r="J65" s="144">
        <f t="shared" si="37"/>
        <v>32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880200</v>
      </c>
      <c r="M66" s="155">
        <f t="shared" ca="1" si="39"/>
        <v>660500</v>
      </c>
      <c r="N66" s="155">
        <f t="shared" ca="1" si="39"/>
        <v>283676</v>
      </c>
      <c r="O66" s="155">
        <f t="shared" ref="O66:O74" ca="1" si="40">IF(L66&gt;0,N66*100/L66,0)</f>
        <v>32.228584412633495</v>
      </c>
      <c r="P66" s="155">
        <f t="shared" ref="P66:P74" ca="1" si="41">IF(M66&gt;0,N66*100/M66,0)</f>
        <v>42.948675246025736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880200</v>
      </c>
      <c r="M68" s="93">
        <f t="shared" ca="1" si="42"/>
        <v>660500</v>
      </c>
      <c r="N68" s="93">
        <f t="shared" ca="1" si="42"/>
        <v>283676</v>
      </c>
      <c r="O68" s="93">
        <f t="shared" ca="1" si="40"/>
        <v>32.228584412633495</v>
      </c>
      <c r="P68" s="93">
        <f t="shared" ca="1" si="41"/>
        <v>42.948675246025736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880200</v>
      </c>
      <c r="M69" s="466">
        <f t="shared" ca="1" si="43"/>
        <v>660500</v>
      </c>
      <c r="N69" s="466">
        <f t="shared" ca="1" si="43"/>
        <v>283676</v>
      </c>
      <c r="O69" s="466">
        <f t="shared" ca="1" si="40"/>
        <v>32.228584412633495</v>
      </c>
      <c r="P69" s="466">
        <f t="shared" ca="1" si="41"/>
        <v>42.948675246025736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IFERROR(__xludf.DUMMYFUNCTION("IMPORTRANGE(""https://docs.google.com/spreadsheets/d/1MeEWN-I1oV_STSDYn1IFDPWt_1FKiwhDph83XaGc0o0/edit?usp=sharing"",""งบพรบ!AG30"")"),880200)</f>
        <v>880200</v>
      </c>
      <c r="M71" s="93">
        <f ca="1">IFERROR(__xludf.DUMMYFUNCTION("IMPORTRANGE(""https://docs.google.com/spreadsheets/d/1MeEWN-I1oV_STSDYn1IFDPWt_1FKiwhDph83XaGc0o0/edit?usp=sharing"",""งบพรบ!AL30"")"),660500)</f>
        <v>660500</v>
      </c>
      <c r="N71" s="93">
        <f ca="1">IFERROR(__xludf.DUMMYFUNCTION("IMPORTRANGE(""https://docs.google.com/spreadsheets/d/1MeEWN-I1oV_STSDYn1IFDPWt_1FKiwhDph83XaGc0o0/edit?usp=sharing"",""งบพรบ!AN30"")"),283676)</f>
        <v>283676</v>
      </c>
      <c r="O71" s="93">
        <f t="shared" ca="1" si="40"/>
        <v>32.228584412633495</v>
      </c>
      <c r="P71" s="93">
        <f t="shared" ca="1" si="41"/>
        <v>42.948675246025736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IFERROR(__xludf.DUMMYFUNCTION("IMPORTRANGE(""https://docs.google.com/spreadsheets/d/1MeEWN-I1oV_STSDYn1IFDPWt_1FKiwhDph83XaGc0o0/edit?usp=sharing"",""งบพรบ!AJ30"")"),0)</f>
        <v>0</v>
      </c>
      <c r="M74" s="93">
        <f ca="1">IFERROR(__xludf.DUMMYFUNCTION("IMPORTRANGE(""https://docs.google.com/spreadsheets/d/1MeEWN-I1oV_STSDYn1IFDPWt_1FKiwhDph83XaGc0o0/edit?usp=sharing"",""งบพรบ!AM30"")"),0)</f>
        <v>0</v>
      </c>
      <c r="N74" s="93">
        <f ca="1">IFERROR(__xludf.DUMMYFUNCTION("IMPORTRANGE(""https://docs.google.com/spreadsheets/d/1MeEWN-I1oV_STSDYn1IFDPWt_1FKiwhDph83XaGc0o0/edit?usp=sharing"",""งบพรบ!AO30"")"),0)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32</v>
      </c>
      <c r="J77" s="270">
        <f t="shared" si="45"/>
        <v>32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IFERROR(__xludf.DUMMYFUNCTION("IMPORTRANGE(""https://docs.google.com/spreadsheets/d/1QqKyyYR6Q21VydFLVH3TRQUabQu_ym0Zz7PgGX0-kHA/edit?usp=sharing"",""แผน!H30"")"),0)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IFERROR(__xludf.DUMMYFUNCTION("IMPORTRANGE(""https://docs.google.com/spreadsheets/d/1QqKyyYR6Q21VydFLVH3TRQUabQu_ym0Zz7PgGX0-kHA/edit?usp=sharing"",""แผน!I30"")"),0)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IFERROR(__xludf.DUMMYFUNCTION("IMPORTRANGE(""https://docs.google.com/spreadsheets/d/1QqKyyYR6Q21VydFLVH3TRQUabQu_ym0Zz7PgGX0-kHA/edit?usp=sharing"",""แผน!F30"")"),1)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IFERROR(__xludf.DUMMYFUNCTION("IMPORTRANGE(""https://docs.google.com/spreadsheets/d/1QqKyyYR6Q21VydFLVH3TRQUabQu_ym0Zz7PgGX0-kHA/edit?usp=sharing"",""แผน!G30"")"),32)</f>
        <v>32</v>
      </c>
      <c r="J81" s="215">
        <v>32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IFERROR(__xludf.DUMMYFUNCTION("IMPORTRANGE(""https://docs.google.com/spreadsheets/d/1QqKyyYR6Q21VydFLVH3TRQUabQu_ym0Zz7PgGX0-kHA/edit?usp=sharing"",""แผน!D30"")"),0)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IFERROR(__xludf.DUMMYFUNCTION("IMPORTRANGE(""https://docs.google.com/spreadsheets/d/1QqKyyYR6Q21VydFLVH3TRQUabQu_ym0Zz7PgGX0-kHA/edit?usp=sharing"",""แผน!E30"")"),0)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IFERROR(__xludf.DUMMYFUNCTION("IMPORTRANGE(""https://docs.google.com/spreadsheets/d/1QqKyyYR6Q21VydFLVH3TRQUabQu_ym0Zz7PgGX0-kHA/edit?usp=sharing"",""แผน!J30"")"),1)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111180</v>
      </c>
      <c r="M88" s="155">
        <f t="shared" ca="1" si="49"/>
        <v>73730</v>
      </c>
      <c r="N88" s="155">
        <f t="shared" ca="1" si="49"/>
        <v>40005</v>
      </c>
      <c r="O88" s="155">
        <f t="shared" ref="O88:O96" ca="1" si="50">IF(L88&gt;0,N88*100/L88,0)</f>
        <v>35.982191041554238</v>
      </c>
      <c r="P88" s="155">
        <f t="shared" ref="P88:P96" ca="1" si="51">IF(M88&gt;0,N88*100/M88,0)</f>
        <v>54.258782042587818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111180</v>
      </c>
      <c r="M90" s="93">
        <f t="shared" ca="1" si="52"/>
        <v>73730</v>
      </c>
      <c r="N90" s="93">
        <f t="shared" ca="1" si="52"/>
        <v>40005</v>
      </c>
      <c r="O90" s="93">
        <f t="shared" ca="1" si="50"/>
        <v>35.982191041554238</v>
      </c>
      <c r="P90" s="93">
        <f t="shared" ca="1" si="51"/>
        <v>54.258782042587818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111180</v>
      </c>
      <c r="M91" s="466">
        <f t="shared" ca="1" si="53"/>
        <v>73730</v>
      </c>
      <c r="N91" s="466">
        <f t="shared" ca="1" si="53"/>
        <v>40005</v>
      </c>
      <c r="O91" s="466">
        <f t="shared" ca="1" si="50"/>
        <v>35.982191041554238</v>
      </c>
      <c r="P91" s="466">
        <f t="shared" ca="1" si="51"/>
        <v>54.258782042587818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IFERROR(__xludf.DUMMYFUNCTION("IMPORTRANGE(""https://docs.google.com/spreadsheets/d/1MeEWN-I1oV_STSDYn1IFDPWt_1FKiwhDph83XaGc0o0/edit?usp=sharing"",""งบพรบ!AQ30"")"),111180)</f>
        <v>111180</v>
      </c>
      <c r="M93" s="93">
        <f ca="1">IFERROR(__xludf.DUMMYFUNCTION("IMPORTRANGE(""https://docs.google.com/spreadsheets/d/1MeEWN-I1oV_STSDYn1IFDPWt_1FKiwhDph83XaGc0o0/edit?usp=sharing"",""งบพรบ!AV30"")"),73730)</f>
        <v>73730</v>
      </c>
      <c r="N93" s="93">
        <f ca="1">IFERROR(__xludf.DUMMYFUNCTION("IMPORTRANGE(""https://docs.google.com/spreadsheets/d/1MeEWN-I1oV_STSDYn1IFDPWt_1FKiwhDph83XaGc0o0/edit?usp=sharing"",""งบพรบ!AX30"")"),40005)</f>
        <v>40005</v>
      </c>
      <c r="O93" s="93">
        <f t="shared" ca="1" si="50"/>
        <v>35.982191041554238</v>
      </c>
      <c r="P93" s="93">
        <f t="shared" ca="1" si="51"/>
        <v>54.258782042587818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IFERROR(__xludf.DUMMYFUNCTION("IMPORTRANGE(""https://docs.google.com/spreadsheets/d/1MeEWN-I1oV_STSDYn1IFDPWt_1FKiwhDph83XaGc0o0/edit?usp=sharing"",""งบพรบ!AT30"")"),0)</f>
        <v>0</v>
      </c>
      <c r="M96" s="93">
        <f ca="1">IFERROR(__xludf.DUMMYFUNCTION("IMPORTRANGE(""https://docs.google.com/spreadsheets/d/1MeEWN-I1oV_STSDYn1IFDPWt_1FKiwhDph83XaGc0o0/edit?usp=sharing"",""งบพรบ!AW30"")"),0)</f>
        <v>0</v>
      </c>
      <c r="N96" s="93">
        <f ca="1">IFERROR(__xludf.DUMMYFUNCTION("IMPORTRANGE(""https://docs.google.com/spreadsheets/d/1MeEWN-I1oV_STSDYn1IFDPWt_1FKiwhDph83XaGc0o0/edit?usp=sharing"",""งบพรบ!AY30"")"),0)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IFERROR(__xludf.DUMMYFUNCTION("IMPORTRANGE(""https://docs.google.com/spreadsheets/d/1QqKyyYR6Q21VydFLVH3TRQUabQu_ym0Zz7PgGX0-kHA/edit?usp=sharing"",""แผน!K30"")"),60)</f>
        <v>60</v>
      </c>
      <c r="J98" s="270">
        <f>J102</f>
        <v>60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IFERROR(__xludf.DUMMYFUNCTION("IMPORTRANGE(""https://docs.google.com/spreadsheets/d/1QqKyyYR6Q21VydFLVH3TRQUabQu_ym0Zz7PgGX0-kHA/edit?usp=sharing"",""แผน!L30"")"),20)</f>
        <v>20</v>
      </c>
      <c r="J99" s="270">
        <f>J104</f>
        <v>20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IFERROR(__xludf.DUMMYFUNCTION("IMPORTRANGE(""https://docs.google.com/spreadsheets/d/1QqKyyYR6Q21VydFLVH3TRQUabQu_ym0Zz7PgGX0-kHA/edit?usp=sharing"",""แผน!M30"")"),2)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IFERROR(__xludf.DUMMYFUNCTION("IMPORTRANGE(""https://docs.google.com/spreadsheets/d/1QqKyyYR6Q21VydFLVH3TRQUabQu_ym0Zz7PgGX0-kHA/edit?usp=sharing"",""แผน!N30"")"),60)</f>
        <v>60</v>
      </c>
      <c r="J102" s="215">
        <v>60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IFERROR(__xludf.DUMMYFUNCTION("IMPORTRANGE(""https://docs.google.com/spreadsheets/d/1QqKyyYR6Q21VydFLVH3TRQUabQu_ym0Zz7PgGX0-kHA/edit?usp=sharing"",""แผน!O30"")"),20)</f>
        <v>20</v>
      </c>
      <c r="J103" s="215">
        <v>20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IFERROR(__xludf.DUMMYFUNCTION("IMPORTRANGE(""https://docs.google.com/spreadsheets/d/1QqKyyYR6Q21VydFLVH3TRQUabQu_ym0Zz7PgGX0-kHA/edit?usp=sharing"",""แผน!O30"")"),20)</f>
        <v>20</v>
      </c>
      <c r="J104" s="215">
        <v>20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IFERROR(__xludf.DUMMYFUNCTION("IMPORTRANGE(""https://docs.google.com/spreadsheets/d/1QqKyyYR6Q21VydFLVH3TRQUabQu_ym0Zz7PgGX0-kHA/edit?usp=sharing"",""แผน!P30"")"),1)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IFERROR(__xludf.DUMMYFUNCTION("IMPORTRANGE(""https://docs.google.com/spreadsheets/d/1QqKyyYR6Q21VydFLVH3TRQUabQu_ym0Zz7PgGX0-kHA/edit?usp=sharing"",""แผน!P30"")"),1)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IFERROR(__xludf.DUMMYFUNCTION("IMPORTRANGE(""https://docs.google.com/spreadsheets/d/1QqKyyYR6Q21VydFLVH3TRQUabQu_ym0Zz7PgGX0-kHA/edit?usp=sharing"",""แผน!Q30"")"),1)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IFERROR(__xludf.DUMMYFUNCTION("IMPORTRANGE(""https://docs.google.com/spreadsheets/d/1QqKyyYR6Q21VydFLVH3TRQUabQu_ym0Zz7PgGX0-kHA/edit?usp=sharing"",""แผน!Q30"")"),1)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IFERROR(__xludf.DUMMYFUNCTION("IMPORTRANGE(""https://docs.google.com/spreadsheets/d/1QqKyyYR6Q21VydFLVH3TRQUabQu_ym0Zz7PgGX0-kHA/edit?usp=sharing"",""แผน!R30"")"),20)</f>
        <v>20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IFERROR(__xludf.DUMMYFUNCTION("IMPORTRANGE(""https://docs.google.com/spreadsheets/d/1QqKyyYR6Q21VydFLVH3TRQUabQu_ym0Zz7PgGX0-kHA/edit?usp=sharing"",""แผน!R30"")"),20)</f>
        <v>20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IFERROR(__xludf.DUMMYFUNCTION("IMPORTRANGE(""https://docs.google.com/spreadsheets/d/1QqKyyYR6Q21VydFLVH3TRQUabQu_ym0Zz7PgGX0-kHA/edit?usp=sharing"",""แผน!R30"")"),20)</f>
        <v>20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IFERROR(__xludf.DUMMYFUNCTION("IMPORTRANGE(""https://docs.google.com/spreadsheets/d/1QqKyyYR6Q21VydFLVH3TRQUabQu_ym0Zz7PgGX0-kHA/edit?usp=sharing"",""แผน!S30"")"),1)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IFERROR(__xludf.DUMMYFUNCTION("IMPORTRANGE(""https://docs.google.com/spreadsheets/d/1QqKyyYR6Q21VydFLVH3TRQUabQu_ym0Zz7PgGX0-kHA/edit?usp=sharing"",""แผน!T30"")"),1)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IFERROR(__xludf.DUMMYFUNCTION("IMPORTRANGE(""https://docs.google.com/spreadsheets/d/1MeEWN-I1oV_STSDYn1IFDPWt_1FKiwhDph83XaGc0o0/edit?usp=sharing"",""งบพรบ!BA30"")"),0)</f>
        <v>0</v>
      </c>
      <c r="M124" s="93">
        <f ca="1">IFERROR(__xludf.DUMMYFUNCTION("IMPORTRANGE(""https://docs.google.com/spreadsheets/d/1MeEWN-I1oV_STSDYn1IFDPWt_1FKiwhDph83XaGc0o0/edit?usp=sharing"",""งบพรบ!BF30"")"),0)</f>
        <v>0</v>
      </c>
      <c r="N124" s="93">
        <f ca="1">IFERROR(__xludf.DUMMYFUNCTION("IMPORTRANGE(""https://docs.google.com/spreadsheets/d/1MeEWN-I1oV_STSDYn1IFDPWt_1FKiwhDph83XaGc0o0/edit?usp=sharing"",""งบพรบ!BH30"")"),0)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IFERROR(__xludf.DUMMYFUNCTION("IMPORTRANGE(""https://docs.google.com/spreadsheets/d/1MeEWN-I1oV_STSDYn1IFDPWt_1FKiwhDph83XaGc0o0/edit?usp=sharing"",""งบพรบ!BD30"")"),0)</f>
        <v>0</v>
      </c>
      <c r="M127" s="93">
        <f ca="1">IFERROR(__xludf.DUMMYFUNCTION("IMPORTRANGE(""https://docs.google.com/spreadsheets/d/1MeEWN-I1oV_STSDYn1IFDPWt_1FKiwhDph83XaGc0o0/edit?usp=sharing"",""งบพรบ!BG30"")"),0)</f>
        <v>0</v>
      </c>
      <c r="N127" s="93">
        <f ca="1">IFERROR(__xludf.DUMMYFUNCTION("IMPORTRANGE(""https://docs.google.com/spreadsheets/d/1MeEWN-I1oV_STSDYn1IFDPWt_1FKiwhDph83XaGc0o0/edit?usp=sharing"",""งบพรบ!BI30"")"),0)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111095</v>
      </c>
      <c r="O132" s="155">
        <f t="shared" ref="O132:O140" ca="1" si="70">IF(L132&gt;0,N132*100/L132,0)</f>
        <v>73.255085556031787</v>
      </c>
      <c r="P132" s="155">
        <f t="shared" ref="P132:P140" ca="1" si="71">IF(M132&gt;0,N132*100/M132,0)</f>
        <v>75.626276378488768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111095</v>
      </c>
      <c r="O134" s="93">
        <f t="shared" ca="1" si="70"/>
        <v>73.255085556031787</v>
      </c>
      <c r="P134" s="93">
        <f t="shared" ca="1" si="71"/>
        <v>75.626276378488768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48655</v>
      </c>
      <c r="M135" s="466">
        <f t="shared" ca="1" si="73"/>
        <v>43900</v>
      </c>
      <c r="N135" s="466">
        <f t="shared" ca="1" si="73"/>
        <v>8095</v>
      </c>
      <c r="O135" s="466">
        <f t="shared" ca="1" si="70"/>
        <v>16.637550097626143</v>
      </c>
      <c r="P135" s="466">
        <f t="shared" ca="1" si="71"/>
        <v>18.439635535307517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IFERROR(__xludf.DUMMYFUNCTION("IMPORTRANGE(""https://docs.google.com/spreadsheets/d/1MeEWN-I1oV_STSDYn1IFDPWt_1FKiwhDph83XaGc0o0/edit?usp=sharing"",""งบพรบ!BK30"")"),48655)</f>
        <v>48655</v>
      </c>
      <c r="M137" s="93">
        <f ca="1">IFERROR(__xludf.DUMMYFUNCTION("IMPORTRANGE(""https://docs.google.com/spreadsheets/d/1MeEWN-I1oV_STSDYn1IFDPWt_1FKiwhDph83XaGc0o0/edit?usp=sharing"",""งบพรบ!BP30"")"),43900)</f>
        <v>43900</v>
      </c>
      <c r="N137" s="93">
        <f ca="1">IFERROR(__xludf.DUMMYFUNCTION("IMPORTRANGE(""https://docs.google.com/spreadsheets/d/1MeEWN-I1oV_STSDYn1IFDPWt_1FKiwhDph83XaGc0o0/edit?usp=sharing"",""งบพรบ!BR30"")"),8095)</f>
        <v>8095</v>
      </c>
      <c r="O137" s="93">
        <f t="shared" ca="1" si="70"/>
        <v>16.637550097626143</v>
      </c>
      <c r="P137" s="93">
        <f t="shared" ca="1" si="71"/>
        <v>18.439635535307517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IFERROR(__xludf.DUMMYFUNCTION("IMPORTRANGE(""https://docs.google.com/spreadsheets/d/1MeEWN-I1oV_STSDYn1IFDPWt_1FKiwhDph83XaGc0o0/edit?usp=sharing"",""งบพรบ!BN30"")"),103000)</f>
        <v>103000</v>
      </c>
      <c r="M140" s="93">
        <f ca="1">IFERROR(__xludf.DUMMYFUNCTION("IMPORTRANGE(""https://docs.google.com/spreadsheets/d/1MeEWN-I1oV_STSDYn1IFDPWt_1FKiwhDph83XaGc0o0/edit?usp=sharing"",""งบพรบ!BQ30"")"),103000)</f>
        <v>103000</v>
      </c>
      <c r="N140" s="93">
        <f ca="1">IFERROR(__xludf.DUMMYFUNCTION("IMPORTRANGE(""https://docs.google.com/spreadsheets/d/1MeEWN-I1oV_STSDYn1IFDPWt_1FKiwhDph83XaGc0o0/edit?usp=sharing"",""งบพรบ!BS30"")"),103000)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IFERROR(__xludf.DUMMYFUNCTION("IMPORTRANGE(""https://docs.google.com/spreadsheets/d/1QqKyyYR6Q21VydFLVH3TRQUabQu_ym0Zz7PgGX0-kHA/edit?usp=sharing"",""แผน!U30"")"),5)</f>
        <v>5</v>
      </c>
      <c r="J144" s="215">
        <v>10</v>
      </c>
      <c r="K144" s="466">
        <f t="shared" ca="1" si="75"/>
        <v>200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IFERROR(__xludf.DUMMYFUNCTION("IMPORTRANGE(""https://docs.google.com/spreadsheets/d/1QqKyyYR6Q21VydFLVH3TRQUabQu_ym0Zz7PgGX0-kHA/edit?usp=sharing"",""แผน!V30"")"),10)</f>
        <v>10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IFERROR(__xludf.DUMMYFUNCTION("IMPORTRANGE(""https://docs.google.com/spreadsheets/d/1QqKyyYR6Q21VydFLVH3TRQUabQu_ym0Zz7PgGX0-kHA/edit?usp=sharing"",""แผน!W30"")"),1)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5</v>
      </c>
      <c r="K148" s="145">
        <f ca="1">IF(I148&gt;0,J148*100/I148,0)</f>
        <v>25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10000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IFERROR(__xludf.DUMMYFUNCTION("IMPORTRANGE(""https://docs.google.com/spreadsheets/d/1MeEWN-I1oV_STSDYn1IFDPWt_1FKiwhDph83XaGc0o0/edit?usp=sharing"",""งบพรบ!BU30"")"),10000)</f>
        <v>10000</v>
      </c>
      <c r="M154" s="93">
        <f ca="1">IFERROR(__xludf.DUMMYFUNCTION("IMPORTRANGE(""https://docs.google.com/spreadsheets/d/1MeEWN-I1oV_STSDYn1IFDPWt_1FKiwhDph83XaGc0o0/edit?usp=sharing"",""งบพรบ!BZ30"")"),10000)</f>
        <v>10000</v>
      </c>
      <c r="N154" s="93">
        <f ca="1">IFERROR(__xludf.DUMMYFUNCTION("IMPORTRANGE(""https://docs.google.com/spreadsheets/d/1MeEWN-I1oV_STSDYn1IFDPWt_1FKiwhDph83XaGc0o0/edit?usp=sharing"",""งบพรบ!CB30"")"),0)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IFERROR(__xludf.DUMMYFUNCTION("IMPORTRANGE(""https://docs.google.com/spreadsheets/d/1MeEWN-I1oV_STSDYn1IFDPWt_1FKiwhDph83XaGc0o0/edit?usp=sharing"",""งบพรบ!BX30"")"),0)</f>
        <v>0</v>
      </c>
      <c r="M157" s="93">
        <f ca="1">IFERROR(__xludf.DUMMYFUNCTION("IMPORTRANGE(""https://docs.google.com/spreadsheets/d/1MeEWN-I1oV_STSDYn1IFDPWt_1FKiwhDph83XaGc0o0/edit?usp=sharing"",""งบพรบ!CA30"")"),0)</f>
        <v>0</v>
      </c>
      <c r="N157" s="93">
        <f ca="1">IFERROR(__xludf.DUMMYFUNCTION("IMPORTRANGE(""https://docs.google.com/spreadsheets/d/1MeEWN-I1oV_STSDYn1IFDPWt_1FKiwhDph83XaGc0o0/edit?usp=sharing"",""งบพรบ!CC30"")"),0)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IFERROR(__xludf.DUMMYFUNCTION("IMPORTRANGE(""https://docs.google.com/spreadsheets/d/1QqKyyYR6Q21VydFLVH3TRQUabQu_ym0Zz7PgGX0-kHA/edit?usp=sharing"",""แผน!X30"")"),20)</f>
        <v>20</v>
      </c>
      <c r="J159" s="215">
        <v>5</v>
      </c>
      <c r="K159" s="466">
        <f ca="1">IF(I159&gt;0,J159*100/I159,0)</f>
        <v>25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31820</v>
      </c>
      <c r="N165" s="155">
        <f t="shared" ca="1" si="84"/>
        <v>19610</v>
      </c>
      <c r="O165" s="155">
        <f t="shared" ref="O165:O173" ca="1" si="85">IF(L165&gt;0,N165*100/L165,0)</f>
        <v>93.159144893111645</v>
      </c>
      <c r="P165" s="155">
        <f t="shared" ref="P165:P173" ca="1" si="86">IF(M165&gt;0,N165*100/M165,0)</f>
        <v>61.627906976744185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21050</v>
      </c>
      <c r="M167" s="93">
        <f t="shared" ca="1" si="87"/>
        <v>31820</v>
      </c>
      <c r="N167" s="93">
        <f t="shared" ca="1" si="87"/>
        <v>19610</v>
      </c>
      <c r="O167" s="93">
        <f t="shared" ca="1" si="85"/>
        <v>93.159144893111645</v>
      </c>
      <c r="P167" s="93">
        <f t="shared" ca="1" si="86"/>
        <v>61.627906976744185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31820</v>
      </c>
      <c r="N168" s="466">
        <f t="shared" ca="1" si="88"/>
        <v>19610</v>
      </c>
      <c r="O168" s="466">
        <f t="shared" ca="1" si="85"/>
        <v>93.159144893111645</v>
      </c>
      <c r="P168" s="466">
        <f t="shared" ca="1" si="86"/>
        <v>61.627906976744185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IFERROR(__xludf.DUMMYFUNCTION("IMPORTRANGE(""https://docs.google.com/spreadsheets/d/1MeEWN-I1oV_STSDYn1IFDPWt_1FKiwhDph83XaGc0o0/edit?usp=sharing"",""งบพรบ!CE30"")"),21050)</f>
        <v>21050</v>
      </c>
      <c r="M170" s="93">
        <f ca="1">IFERROR(__xludf.DUMMYFUNCTION("IMPORTRANGE(""https://docs.google.com/spreadsheets/d/1MeEWN-I1oV_STSDYn1IFDPWt_1FKiwhDph83XaGc0o0/edit?usp=sharing"",""งบพรบ!CJ30"")"),31820)</f>
        <v>31820</v>
      </c>
      <c r="N170" s="93">
        <f ca="1">IFERROR(__xludf.DUMMYFUNCTION("IMPORTRANGE(""https://docs.google.com/spreadsheets/d/1MeEWN-I1oV_STSDYn1IFDPWt_1FKiwhDph83XaGc0o0/edit?usp=sharing"",""งบพรบ!CL30"")"),19610)</f>
        <v>19610</v>
      </c>
      <c r="O170" s="93">
        <f t="shared" ca="1" si="85"/>
        <v>93.159144893111645</v>
      </c>
      <c r="P170" s="93">
        <f t="shared" ca="1" si="86"/>
        <v>61.627906976744185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IFERROR(__xludf.DUMMYFUNCTION("IMPORTRANGE(""https://docs.google.com/spreadsheets/d/1MeEWN-I1oV_STSDYn1IFDPWt_1FKiwhDph83XaGc0o0/edit?usp=sharing"",""งบพรบ!CH30"")"),0)</f>
        <v>0</v>
      </c>
      <c r="M173" s="93">
        <f ca="1">IFERROR(__xludf.DUMMYFUNCTION("IMPORTRANGE(""https://docs.google.com/spreadsheets/d/1MeEWN-I1oV_STSDYn1IFDPWt_1FKiwhDph83XaGc0o0/edit?usp=sharing"",""งบพรบ!CK30"")"),0)</f>
        <v>0</v>
      </c>
      <c r="N173" s="93">
        <f ca="1">IFERROR(__xludf.DUMMYFUNCTION("IMPORTRANGE(""https://docs.google.com/spreadsheets/d/1MeEWN-I1oV_STSDYn1IFDPWt_1FKiwhDph83XaGc0o0/edit?usp=sharing"",""งบพรบ!CM30"")"),0)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IFERROR(__xludf.DUMMYFUNCTION("IMPORTRANGE(""https://docs.google.com/spreadsheets/d/1QqKyyYR6Q21VydFLVH3TRQUabQu_ym0Zz7PgGX0-kHA/edit?usp=sharing"",""แผน!Y30"")"),10)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63500</v>
      </c>
      <c r="M181" s="155">
        <f t="shared" ca="1" si="92"/>
        <v>48500</v>
      </c>
      <c r="N181" s="155">
        <f t="shared" ca="1" si="92"/>
        <v>24375</v>
      </c>
      <c r="O181" s="155">
        <f t="shared" ref="O181:O189" ca="1" si="93">IF(L181&gt;0,N181*100/L181,0)</f>
        <v>38.385826771653541</v>
      </c>
      <c r="P181" s="155">
        <f t="shared" ref="P181:P189" ca="1" si="94">IF(M181&gt;0,N181*100/M181,0)</f>
        <v>50.257731958762889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63500</v>
      </c>
      <c r="M183" s="93">
        <f t="shared" ca="1" si="95"/>
        <v>48500</v>
      </c>
      <c r="N183" s="93">
        <f t="shared" ca="1" si="95"/>
        <v>24375</v>
      </c>
      <c r="O183" s="93">
        <f t="shared" ca="1" si="93"/>
        <v>38.385826771653541</v>
      </c>
      <c r="P183" s="93">
        <f t="shared" ca="1" si="94"/>
        <v>50.257731958762889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6">L185+L186</f>
        <v>63500</v>
      </c>
      <c r="M184" s="466">
        <f t="shared" ca="1" si="96"/>
        <v>48500</v>
      </c>
      <c r="N184" s="466">
        <f t="shared" ca="1" si="96"/>
        <v>24375</v>
      </c>
      <c r="O184" s="466">
        <f t="shared" ca="1" si="93"/>
        <v>38.385826771653541</v>
      </c>
      <c r="P184" s="466">
        <f t="shared" ca="1" si="94"/>
        <v>50.257731958762889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IFERROR(__xludf.DUMMYFUNCTION("IMPORTRANGE(""https://docs.google.com/spreadsheets/d/1MeEWN-I1oV_STSDYn1IFDPWt_1FKiwhDph83XaGc0o0/edit?usp=sharing"",""งบพรบ!CO30"")"),63500)</f>
        <v>63500</v>
      </c>
      <c r="M186" s="93">
        <f ca="1">IFERROR(__xludf.DUMMYFUNCTION("IMPORTRANGE(""https://docs.google.com/spreadsheets/d/1MeEWN-I1oV_STSDYn1IFDPWt_1FKiwhDph83XaGc0o0/edit?usp=sharing"",""งบพรบ!CT30"")"),48500)</f>
        <v>48500</v>
      </c>
      <c r="N186" s="93">
        <f ca="1">IFERROR(__xludf.DUMMYFUNCTION("IMPORTRANGE(""https://docs.google.com/spreadsheets/d/1MeEWN-I1oV_STSDYn1IFDPWt_1FKiwhDph83XaGc0o0/edit?usp=sharing"",""งบพรบ!CV30"")"),24375)</f>
        <v>24375</v>
      </c>
      <c r="O186" s="93">
        <f t="shared" ca="1" si="93"/>
        <v>38.385826771653541</v>
      </c>
      <c r="P186" s="93">
        <f t="shared" ca="1" si="94"/>
        <v>50.257731958762889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IFERROR(__xludf.DUMMYFUNCTION("IMPORTRANGE(""https://docs.google.com/spreadsheets/d/1MeEWN-I1oV_STSDYn1IFDPWt_1FKiwhDph83XaGc0o0/edit?usp=sharing"",""งบพรบ!CR30"")"),0)</f>
        <v>0</v>
      </c>
      <c r="M189" s="93">
        <f ca="1">IFERROR(__xludf.DUMMYFUNCTION("IMPORTRANGE(""https://docs.google.com/spreadsheets/d/1MeEWN-I1oV_STSDYn1IFDPWt_1FKiwhDph83XaGc0o0/edit?usp=sharing"",""งบพรบ!CU30"")"),0)</f>
        <v>0</v>
      </c>
      <c r="N189" s="93">
        <f ca="1">IFERROR(__xludf.DUMMYFUNCTION("IMPORTRANGE(""https://docs.google.com/spreadsheets/d/1MeEWN-I1oV_STSDYn1IFDPWt_1FKiwhDph83XaGc0o0/edit?usp=sharing"",""งบพรบ!CW30"")"),0)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IFERROR(__xludf.DUMMYFUNCTION("IMPORTRANGE(""https://docs.google.com/spreadsheets/d/1QqKyyYR6Q21VydFLVH3TRQUabQu_ym0Zz7PgGX0-kHA/edit?usp=sharing"",""แผน!Z30"")"),6000)</f>
        <v>6000</v>
      </c>
      <c r="M191" s="155"/>
      <c r="N191" s="276">
        <v>1180</v>
      </c>
      <c r="O191" s="155">
        <f ca="1">IF(L191&gt;0,N191*100/L191,0)</f>
        <v>19.666666666666668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IFERROR(__xludf.DUMMYFUNCTION("IMPORTRANGE(""https://docs.google.com/spreadsheets/d/1QqKyyYR6Q21VydFLVH3TRQUabQu_ym0Zz7PgGX0-kHA/edit?usp=sharing"",""แผน!AC30"")"),4)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15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15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23295</v>
      </c>
      <c r="O198" s="155">
        <f ca="1">IF(L198&gt;0,N198*100/L198,0)</f>
        <v>59.730769230769234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IFERROR(__xludf.DUMMYFUNCTION("IMPORTRANGE(""https://docs.google.com/spreadsheets/d/1QqKyyYR6Q21VydFLVH3TRQUabQu_ym0Zz7PgGX0-kHA/edit?usp=sharing"",""แผน!AE30"")"),3000)</f>
        <v>3000</v>
      </c>
      <c r="M199" s="466"/>
      <c r="N199" s="801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IFERROR(__xludf.DUMMYFUNCTION("IMPORTRANGE(""https://docs.google.com/spreadsheets/d/1QqKyyYR6Q21VydFLVH3TRQUabQu_ym0Zz7PgGX0-kHA/edit?usp=sharing"",""แผน!AF30"")"),24000)</f>
        <v>24000</v>
      </c>
      <c r="M200" s="466"/>
      <c r="N200" s="801">
        <v>23295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IFERROR(__xludf.DUMMYFUNCTION("IMPORTRANGE(""https://docs.google.com/spreadsheets/d/1QqKyyYR6Q21VydFLVH3TRQUabQu_ym0Zz7PgGX0-kHA/edit?usp=sharing"",""แผน!AG30"")"),12000)</f>
        <v>12000</v>
      </c>
      <c r="M201" s="466"/>
      <c r="N201" s="801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IFERROR(__xludf.DUMMYFUNCTION("IMPORTRANGE(""https://docs.google.com/spreadsheets/d/1QqKyyYR6Q21VydFLVH3TRQUabQu_ym0Zz7PgGX0-kHA/edit?usp=sharing"",""แผน!AH30"")"),0)</f>
        <v>0</v>
      </c>
      <c r="M202" s="466"/>
      <c r="N202" s="801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IFERROR(__xludf.DUMMYFUNCTION("IMPORTRANGE(""https://docs.google.com/spreadsheets/d/1QqKyyYR6Q21VydFLVH3TRQUabQu_ym0Zz7PgGX0-kHA/edit?usp=sharing"",""แผน!AI30"")"),3)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3</v>
      </c>
      <c r="J206" s="215"/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IFERROR(__xludf.DUMMYFUNCTION("IMPORTRANGE(""https://docs.google.com/spreadsheets/d/1QqKyyYR6Q21VydFLVH3TRQUabQu_ym0Zz7PgGX0-kHA/edit?usp=sharing"",""แผน!AK30"")"),0)</f>
        <v>0</v>
      </c>
      <c r="M210" s="466"/>
      <c r="N210" s="801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IFERROR(__xludf.DUMMYFUNCTION("IMPORTRANGE(""https://docs.google.com/spreadsheets/d/1QqKyyYR6Q21VydFLVH3TRQUabQu_ym0Zz7PgGX0-kHA/edit?usp=sharing"",""แผน!AL30"")"),0)</f>
        <v>0</v>
      </c>
      <c r="M211" s="466"/>
      <c r="N211" s="801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IFERROR(__xludf.DUMMYFUNCTION("IMPORTRANGE(""https://docs.google.com/spreadsheets/d/1QqKyyYR6Q21VydFLVH3TRQUabQu_ym0Zz7PgGX0-kHA/edit?usp=sharing"",""แผน!AM30"")"),0)</f>
        <v>0</v>
      </c>
      <c r="M212" s="466"/>
      <c r="N212" s="801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IFERROR(__xludf.DUMMYFUNCTION("IMPORTRANGE(""https://docs.google.com/spreadsheets/d/1QqKyyYR6Q21VydFLVH3TRQUabQu_ym0Zz7PgGX0-kHA/edit?usp=sharing"",""แผน!AN30"")"),0)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IFERROR(__xludf.DUMMYFUNCTION("IMPORTRANGE(""https://docs.google.com/spreadsheets/d/1QqKyyYR6Q21VydFLVH3TRQUabQu_ym0Zz7PgGX0-kHA/edit?usp=sharing"",""แผน!AN30"")"),0)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IFERROR(__xludf.DUMMYFUNCTION("IMPORTRANGE(""https://docs.google.com/spreadsheets/d/1QqKyyYR6Q21VydFLVH3TRQUabQu_ym0Zz7PgGX0-kHA/edit?usp=sharing"",""แผน!AP30"")"),5000)</f>
        <v>5000</v>
      </c>
      <c r="M218" s="466"/>
      <c r="N218" s="801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IFERROR(__xludf.DUMMYFUNCTION("IMPORTRANGE(""https://docs.google.com/spreadsheets/d/1QqKyyYR6Q21VydFLVH3TRQUabQu_ym0Zz7PgGX0-kHA/edit?usp=sharing"",""แผน!AQ30"")"),13500)</f>
        <v>13500</v>
      </c>
      <c r="M219" s="466"/>
      <c r="N219" s="801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IFERROR(__xludf.DUMMYFUNCTION("IMPORTRANGE(""https://docs.google.com/spreadsheets/d/1QqKyyYR6Q21VydFLVH3TRQUabQu_ym0Zz7PgGX0-kHA/edit?usp=sharing"",""แผน!AR30"")"),0)</f>
        <v>0</v>
      </c>
      <c r="M220" s="466"/>
      <c r="N220" s="801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IFERROR(__xludf.DUMMYFUNCTION("IMPORTRANGE(""https://docs.google.com/spreadsheets/d/1QqKyyYR6Q21VydFLVH3TRQUabQu_ym0Zz7PgGX0-kHA/edit?usp=sharing"",""แผน!AT30"")"),50000)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IFERROR(__xludf.DUMMYFUNCTION("IMPORTRANGE(""https://docs.google.com/spreadsheets/d/1QqKyyYR6Q21VydFLVH3TRQUabQu_ym0Zz7PgGX0-kHA/edit?usp=sharing"",""แผน!AT30"")"),50000)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IFERROR(__xludf.DUMMYFUNCTION("IMPORTRANGE(""https://docs.google.com/spreadsheets/d/1QqKyyYR6Q21VydFLVH3TRQUabQu_ym0Zz7PgGX0-kHA/edit?usp=sharing"",""แผน!AS30"")"),0)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5">I237+I248</f>
        <v>0</v>
      </c>
      <c r="J226" s="821">
        <f t="shared" si="105"/>
        <v>0</v>
      </c>
      <c r="K226" s="82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6">L238+L249</f>
        <v>0</v>
      </c>
      <c r="M227" s="831"/>
      <c r="N227" s="831">
        <f t="shared" ref="N227:N231" si="107">N238+N249</f>
        <v>0</v>
      </c>
      <c r="O227" s="832"/>
      <c r="P227" s="83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35"/>
      <c r="R229" s="835"/>
      <c r="S229" s="835"/>
      <c r="T229" s="835"/>
      <c r="U229" s="835"/>
      <c r="V229" s="835"/>
      <c r="W229" s="835"/>
      <c r="X229" s="835"/>
      <c r="Y229" s="835"/>
      <c r="Z229" s="835"/>
    </row>
    <row r="230" spans="1:2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35"/>
      <c r="R230" s="835"/>
      <c r="S230" s="835"/>
      <c r="T230" s="835"/>
      <c r="U230" s="835"/>
      <c r="V230" s="835"/>
      <c r="W230" s="835"/>
      <c r="X230" s="835"/>
      <c r="Y230" s="835"/>
      <c r="Z230" s="835"/>
    </row>
    <row r="231" spans="1:2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35"/>
      <c r="R231" s="835"/>
      <c r="S231" s="835"/>
      <c r="T231" s="835"/>
      <c r="U231" s="835"/>
      <c r="V231" s="835"/>
      <c r="W231" s="835"/>
      <c r="X231" s="835"/>
      <c r="Y231" s="835"/>
      <c r="Z231" s="835"/>
    </row>
    <row r="232" spans="1:2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IFERROR(__xludf.DUMMYFUNCTION("IMPORTRANGE(""https://docs.google.com/spreadsheets/d/1QqKyyYR6Q21VydFLVH3TRQUabQu_ym0Zz7PgGX0-kHA/edit?usp=sharing"",""แผน!AV30"")"),0)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IFERROR(__xludf.DUMMYFUNCTION("IMPORTRANGE(""https://docs.google.com/spreadsheets/d/1QqKyyYR6Q21VydFLVH3TRQUabQu_ym0Zz7PgGX0-kHA/edit?usp=sharing"",""แผน!AW30"")"),0)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IFERROR(__xludf.DUMMYFUNCTION("IMPORTRANGE(""https://docs.google.com/spreadsheets/d/1QqKyyYR6Q21VydFLVH3TRQUabQu_ym0Zz7PgGX0-kHA/edit?usp=sharing"",""แผน!AX30"")"),0)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IFERROR(__xludf.DUMMYFUNCTION("IMPORTRANGE(""https://docs.google.com/spreadsheets/d/1QqKyyYR6Q21VydFLVH3TRQUabQu_ym0Zz7PgGX0-kHA/edit?usp=sharing"",""แผน!AY30"")"),0)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IFERROR(__xludf.DUMMYFUNCTION("IMPORTRANGE(""https://docs.google.com/spreadsheets/d/1QqKyyYR6Q21VydFLVH3TRQUabQu_ym0Zz7PgGX0-kHA/edit?usp=sharing"",""แผน!BE30"")"),0)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IFERROR(__xludf.DUMMYFUNCTION("IMPORTRANGE(""https://docs.google.com/spreadsheets/d/1QqKyyYR6Q21VydFLVH3TRQUabQu_ym0Zz7PgGX0-kHA/edit?usp=sharing"",""แผน!AZ30"")"),0)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IFERROR(__xludf.DUMMYFUNCTION("IMPORTRANGE(""https://docs.google.com/spreadsheets/d/1QqKyyYR6Q21VydFLVH3TRQUabQu_ym0Zz7PgGX0-kHA/edit?usp=sharing"",""แผน!BA30"")"),0)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IFERROR(__xludf.DUMMYFUNCTION("IMPORTRANGE(""https://docs.google.com/spreadsheets/d/1QqKyyYR6Q21VydFLVH3TRQUabQu_ym0Zz7PgGX0-kHA/edit?usp=sharing"",""แผน!BB30"")"),0)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IFERROR(__xludf.DUMMYFUNCTION("IMPORTRANGE(""https://docs.google.com/spreadsheets/d/1QqKyyYR6Q21VydFLVH3TRQUabQu_ym0Zz7PgGX0-kHA/edit?usp=sharing"",""แผน!BC30"")"),0)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IFERROR(__xludf.DUMMYFUNCTION("IMPORTRANGE(""https://docs.google.com/spreadsheets/d/1QqKyyYR6Q21VydFLVH3TRQUabQu_ym0Zz7PgGX0-kHA/edit?usp=sharing"",""แผน!BF30"")"),0)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0">L265+L266</f>
        <v>28800</v>
      </c>
      <c r="M264" s="466">
        <f t="shared" ca="1" si="120"/>
        <v>25800</v>
      </c>
      <c r="N264" s="466">
        <f t="shared" ca="1" si="120"/>
        <v>0</v>
      </c>
      <c r="O264" s="466">
        <f t="shared" ca="1" si="117"/>
        <v>0</v>
      </c>
      <c r="P264" s="46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IFERROR(__xludf.DUMMYFUNCTION("IMPORTRANGE(""https://docs.google.com/spreadsheets/d/1MeEWN-I1oV_STSDYn1IFDPWt_1FKiwhDph83XaGc0o0/edit?usp=sharing"",""งบพรบ!CY30"")"),28800)</f>
        <v>28800</v>
      </c>
      <c r="M266" s="93">
        <f ca="1">IFERROR(__xludf.DUMMYFUNCTION("IMPORTRANGE(""https://docs.google.com/spreadsheets/d/1MeEWN-I1oV_STSDYn1IFDPWt_1FKiwhDph83XaGc0o0/edit?usp=sharing"",""งบพรบ!DD30"")"),25800)</f>
        <v>25800</v>
      </c>
      <c r="N266" s="93">
        <f ca="1">IFERROR(__xludf.DUMMYFUNCTION("IMPORTRANGE(""https://docs.google.com/spreadsheets/d/1MeEWN-I1oV_STSDYn1IFDPWt_1FKiwhDph83XaGc0o0/edit?usp=sharing"",""งบพรบ!DF30"")"),0)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IFERROR(__xludf.DUMMYFUNCTION("IMPORTRANGE(""https://docs.google.com/spreadsheets/d/1MeEWN-I1oV_STSDYn1IFDPWt_1FKiwhDph83XaGc0o0/edit?usp=sharing"",""งบพรบ!DB30"")"),0)</f>
        <v>0</v>
      </c>
      <c r="M269" s="93">
        <f ca="1">IFERROR(__xludf.DUMMYFUNCTION("IMPORTRANGE(""https://docs.google.com/spreadsheets/d/1MeEWN-I1oV_STSDYn1IFDPWt_1FKiwhDph83XaGc0o0/edit?usp=sharing"",""งบพรบ!DE30"")"),0)</f>
        <v>0</v>
      </c>
      <c r="N269" s="93">
        <f ca="1">IFERROR(__xludf.DUMMYFUNCTION("IMPORTRANGE(""https://docs.google.com/spreadsheets/d/1MeEWN-I1oV_STSDYn1IFDPWt_1FKiwhDph83XaGc0o0/edit?usp=sharing"",""งบพรบ!DG30"")"),0)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IFERROR(__xludf.DUMMYFUNCTION("IMPORTRANGE(""https://docs.google.com/spreadsheets/d/1QqKyyYR6Q21VydFLVH3TRQUabQu_ym0Zz7PgGX0-kHA/edit?usp=sharing"",""แผน!EA30"")"),24)</f>
        <v>24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200</v>
      </c>
      <c r="J276" s="375">
        <f t="shared" si="124"/>
        <v>200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4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229340</v>
      </c>
      <c r="M277" s="155">
        <f t="shared" ca="1" si="125"/>
        <v>152770</v>
      </c>
      <c r="N277" s="155">
        <f t="shared" ca="1" si="125"/>
        <v>95433.26</v>
      </c>
      <c r="O277" s="155">
        <f t="shared" ref="O277:O285" ca="1" si="126">IF(L277&gt;0,N277*100/L277,0)</f>
        <v>41.612130461323801</v>
      </c>
      <c r="P277" s="155">
        <f t="shared" ref="P277:P285" ca="1" si="127">IF(M277&gt;0,N277*100/M277,0)</f>
        <v>62.468586764417097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229340</v>
      </c>
      <c r="M279" s="93">
        <f t="shared" ca="1" si="128"/>
        <v>152770</v>
      </c>
      <c r="N279" s="93">
        <f t="shared" ca="1" si="128"/>
        <v>95433.26</v>
      </c>
      <c r="O279" s="93">
        <f t="shared" ca="1" si="126"/>
        <v>41.612130461323801</v>
      </c>
      <c r="P279" s="93">
        <f t="shared" ca="1" si="127"/>
        <v>62.468586764417097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29">L281+L282</f>
        <v>229340</v>
      </c>
      <c r="M280" s="466">
        <f t="shared" ca="1" si="129"/>
        <v>152770</v>
      </c>
      <c r="N280" s="466">
        <f t="shared" ca="1" si="129"/>
        <v>95433.26</v>
      </c>
      <c r="O280" s="466">
        <f t="shared" ca="1" si="126"/>
        <v>41.612130461323801</v>
      </c>
      <c r="P280" s="466">
        <f t="shared" ca="1" si="127"/>
        <v>62.468586764417097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IFERROR(__xludf.DUMMYFUNCTION("IMPORTRANGE(""https://docs.google.com/spreadsheets/d/1MeEWN-I1oV_STSDYn1IFDPWt_1FKiwhDph83XaGc0o0/edit?usp=sharing"",""งบพรบ!DI30"")"),229340)</f>
        <v>229340</v>
      </c>
      <c r="M282" s="93">
        <f ca="1">IFERROR(__xludf.DUMMYFUNCTION("IMPORTRANGE(""https://docs.google.com/spreadsheets/d/1MeEWN-I1oV_STSDYn1IFDPWt_1FKiwhDph83XaGc0o0/edit?usp=sharing"",""งบพรบ!DN30"")"),152770)</f>
        <v>152770</v>
      </c>
      <c r="N282" s="93">
        <f ca="1">IFERROR(__xludf.DUMMYFUNCTION("IMPORTRANGE(""https://docs.google.com/spreadsheets/d/1MeEWN-I1oV_STSDYn1IFDPWt_1FKiwhDph83XaGc0o0/edit?usp=sharing"",""งบพรบ!DP30"")"),95433.26)</f>
        <v>95433.26</v>
      </c>
      <c r="O282" s="93">
        <f t="shared" ca="1" si="126"/>
        <v>41.612130461323801</v>
      </c>
      <c r="P282" s="93">
        <f t="shared" ca="1" si="127"/>
        <v>62.468586764417097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IFERROR(__xludf.DUMMYFUNCTION("IMPORTRANGE(""https://docs.google.com/spreadsheets/d/1MeEWN-I1oV_STSDYn1IFDPWt_1FKiwhDph83XaGc0o0/edit?usp=sharing"",""งบพรบ!DL30"")"),0)</f>
        <v>0</v>
      </c>
      <c r="M285" s="93">
        <f ca="1">IFERROR(__xludf.DUMMYFUNCTION("IMPORTRANGE(""https://docs.google.com/spreadsheets/d/1MeEWN-I1oV_STSDYn1IFDPWt_1FKiwhDph83XaGc0o0/edit?usp=sharing"",""งบพรบ!DO30"")"),0)</f>
        <v>0</v>
      </c>
      <c r="N285" s="93">
        <f ca="1">IFERROR(__xludf.DUMMYFUNCTION("IMPORTRANGE(""https://docs.google.com/spreadsheets/d/1MeEWN-I1oV_STSDYn1IFDPWt_1FKiwhDph83XaGc0o0/edit?usp=sharing"",""งบพรบ!DQ30"")"),0)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IFERROR(__xludf.DUMMYFUNCTION("IMPORTRANGE(""https://docs.google.com/spreadsheets/d/1QqKyyYR6Q21VydFLVH3TRQUabQu_ym0Zz7PgGX0-kHA/edit?usp=sharing"",""แผน!EC30"")"),200)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IFERROR(__xludf.DUMMYFUNCTION("IMPORTRANGE(""https://docs.google.com/spreadsheets/d/1QqKyyYR6Q21VydFLVH3TRQUabQu_ym0Zz7PgGX0-kHA/edit?usp=sharing"",""แผน!EB30"")"),20)</f>
        <v>20</v>
      </c>
      <c r="J288" s="648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IFERROR(__xludf.DUMMYFUNCTION("IMPORTRANGE(""https://docs.google.com/spreadsheets/d/1QqKyyYR6Q21VydFLVH3TRQUabQu_ym0Zz7PgGX0-kHA/edit?usp=sharing"",""แผน!EB30"")"),20)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IFERROR(__xludf.DUMMYFUNCTION("IMPORTRANGE(""https://docs.google.com/spreadsheets/d/1QqKyyYR6Q21VydFLVH3TRQUabQu_ym0Zz7PgGX0-kHA/edit?usp=sharing"",""แผน!EB30"")"),20)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IFERROR(__xludf.DUMMYFUNCTION("IMPORTRANGE(""https://docs.google.com/spreadsheets/d/1QqKyyYR6Q21VydFLVH3TRQUabQu_ym0Zz7PgGX0-kHA/edit?usp=sharing"",""แผน!EB30"")"),20)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1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IFERROR(__xludf.DUMMYFUNCTION("IMPORTRANGE(""https://docs.google.com/spreadsheets/d/1QqKyyYR6Q21VydFLVH3TRQUabQu_ym0Zz7PgGX0-kHA/edit?usp=sharing"",""แผน!EB30"")"),20)</f>
        <v>20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4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18485</v>
      </c>
      <c r="O298" s="155">
        <f t="shared" ref="O298:O306" ca="1" si="136">IF(L298&gt;0,N298*100/L298,0)</f>
        <v>22.433252427184467</v>
      </c>
      <c r="P298" s="155">
        <f t="shared" ref="P298:P306" ca="1" si="137">IF(M298&gt;0,N298*100/M298,0)</f>
        <v>28.703416149068325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18485</v>
      </c>
      <c r="O300" s="93">
        <f t="shared" ca="1" si="136"/>
        <v>22.433252427184467</v>
      </c>
      <c r="P300" s="93">
        <f t="shared" ca="1" si="137"/>
        <v>28.703416149068325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64400</v>
      </c>
      <c r="N301" s="466">
        <f t="shared" ca="1" si="139"/>
        <v>18485</v>
      </c>
      <c r="O301" s="466">
        <f t="shared" ca="1" si="136"/>
        <v>22.433252427184467</v>
      </c>
      <c r="P301" s="466">
        <f t="shared" ca="1" si="137"/>
        <v>28.703416149068325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IFERROR(__xludf.DUMMYFUNCTION("IMPORTRANGE(""https://docs.google.com/spreadsheets/d/1MeEWN-I1oV_STSDYn1IFDPWt_1FKiwhDph83XaGc0o0/edit?usp=sharing"",""งบพรบ!DS30"")"),82400)</f>
        <v>82400</v>
      </c>
      <c r="M303" s="93">
        <f ca="1">IFERROR(__xludf.DUMMYFUNCTION("IMPORTRANGE(""https://docs.google.com/spreadsheets/d/1MeEWN-I1oV_STSDYn1IFDPWt_1FKiwhDph83XaGc0o0/edit?usp=sharing"",""งบพรบ!DX30"")"),64400)</f>
        <v>64400</v>
      </c>
      <c r="N303" s="93">
        <f ca="1">IFERROR(__xludf.DUMMYFUNCTION("IMPORTRANGE(""https://docs.google.com/spreadsheets/d/1MeEWN-I1oV_STSDYn1IFDPWt_1FKiwhDph83XaGc0o0/edit?usp=sharing"",""งบพรบ!DZ30"")"),18485)</f>
        <v>18485</v>
      </c>
      <c r="O303" s="93">
        <f t="shared" ca="1" si="136"/>
        <v>22.433252427184467</v>
      </c>
      <c r="P303" s="93">
        <f t="shared" ca="1" si="137"/>
        <v>28.703416149068325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IFERROR(__xludf.DUMMYFUNCTION("IMPORTRANGE(""https://docs.google.com/spreadsheets/d/1MeEWN-I1oV_STSDYn1IFDPWt_1FKiwhDph83XaGc0o0/edit?usp=sharing"",""งบพรบ!DV30"")"),0)</f>
        <v>0</v>
      </c>
      <c r="M306" s="93">
        <f ca="1">IFERROR(__xludf.DUMMYFUNCTION("IMPORTRANGE(""https://docs.google.com/spreadsheets/d/1MeEWN-I1oV_STSDYn1IFDPWt_1FKiwhDph83XaGc0o0/edit?usp=sharing"",""งบพรบ!DY30"")"),0)</f>
        <v>0</v>
      </c>
      <c r="N306" s="93">
        <f ca="1">IFERROR(__xludf.DUMMYFUNCTION("IMPORTRANGE(""https://docs.google.com/spreadsheets/d/1MeEWN-I1oV_STSDYn1IFDPWt_1FKiwhDph83XaGc0o0/edit?usp=sharing"",""งบพรบ!EA30"")"),0)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IFERROR(__xludf.DUMMYFUNCTION("IMPORTRANGE(""https://docs.google.com/spreadsheets/d/1QqKyyYR6Q21VydFLVH3TRQUabQu_ym0Zz7PgGX0-kHA/edit?usp=sharing"",""แผน!ED30"")"),20)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IFERROR(__xludf.DUMMYFUNCTION("IMPORTRANGE(""https://docs.google.com/spreadsheets/d/1QqKyyYR6Q21VydFLVH3TRQUabQu_ym0Zz7PgGX0-kHA/edit?usp=sharing"",""แผน!ED30"")"),20)</f>
        <v>20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IFERROR(__xludf.DUMMYFUNCTION("IMPORTRANGE(""https://docs.google.com/spreadsheets/d/1QqKyyYR6Q21VydFLVH3TRQUabQu_ym0Zz7PgGX0-kHA/edit?usp=sharing"",""แผน!ED30"")"),20)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IFERROR(__xludf.DUMMYFUNCTION("IMPORTRANGE(""https://docs.google.com/spreadsheets/d/1QqKyyYR6Q21VydFLVH3TRQUabQu_ym0Zz7PgGX0-kHA/edit?usp=sharing"",""แผน!EE30"")"),4)</f>
        <v>4</v>
      </c>
      <c r="J312" s="215">
        <v>4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84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64288.2</v>
      </c>
      <c r="O315" s="155">
        <f t="shared" ref="O315:O323" ca="1" si="144">IF(L315&gt;0,N315*100/L315,0)</f>
        <v>42.018431372549017</v>
      </c>
      <c r="P315" s="155">
        <f t="shared" ref="P315:P323" ca="1" si="145">IF(M315&gt;0,N315*100/M315,0)</f>
        <v>56.146899563318776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64288.2</v>
      </c>
      <c r="O317" s="93">
        <f t="shared" ca="1" si="144"/>
        <v>42.018431372549017</v>
      </c>
      <c r="P317" s="93">
        <f t="shared" ca="1" si="145"/>
        <v>56.146899563318776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7">L319+L320</f>
        <v>153000</v>
      </c>
      <c r="M318" s="466">
        <f t="shared" ca="1" si="147"/>
        <v>114500</v>
      </c>
      <c r="N318" s="466">
        <f t="shared" ca="1" si="147"/>
        <v>64288.2</v>
      </c>
      <c r="O318" s="466">
        <f t="shared" ca="1" si="144"/>
        <v>42.018431372549017</v>
      </c>
      <c r="P318" s="466">
        <f t="shared" ca="1" si="145"/>
        <v>56.146899563318776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IFERROR(__xludf.DUMMYFUNCTION("IMPORTRANGE(""https://docs.google.com/spreadsheets/d/1MeEWN-I1oV_STSDYn1IFDPWt_1FKiwhDph83XaGc0o0/edit?usp=sharing"",""งบพรบ!EC30"")"),153000)</f>
        <v>153000</v>
      </c>
      <c r="M320" s="93">
        <f ca="1">IFERROR(__xludf.DUMMYFUNCTION("IMPORTRANGE(""https://docs.google.com/spreadsheets/d/1MeEWN-I1oV_STSDYn1IFDPWt_1FKiwhDph83XaGc0o0/edit?usp=sharing"",""งบพรบ!EH30"")"),114500)</f>
        <v>114500</v>
      </c>
      <c r="N320" s="93">
        <f ca="1">IFERROR(__xludf.DUMMYFUNCTION("IMPORTRANGE(""https://docs.google.com/spreadsheets/d/1MeEWN-I1oV_STSDYn1IFDPWt_1FKiwhDph83XaGc0o0/edit?usp=sharing"",""งบพรบ!EJ30"")"),64288.2)</f>
        <v>64288.2</v>
      </c>
      <c r="O320" s="93">
        <f t="shared" ca="1" si="144"/>
        <v>42.018431372549017</v>
      </c>
      <c r="P320" s="93">
        <f t="shared" ca="1" si="145"/>
        <v>56.146899563318776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IFERROR(__xludf.DUMMYFUNCTION("IMPORTRANGE(""https://docs.google.com/spreadsheets/d/1MeEWN-I1oV_STSDYn1IFDPWt_1FKiwhDph83XaGc0o0/edit?usp=sharing"",""งบพรบ!EF30"")"),0)</f>
        <v>0</v>
      </c>
      <c r="M323" s="93">
        <f ca="1">IFERROR(__xludf.DUMMYFUNCTION("IMPORTRANGE(""https://docs.google.com/spreadsheets/d/1MeEWN-I1oV_STSDYn1IFDPWt_1FKiwhDph83XaGc0o0/edit?usp=sharing"",""งบพรบ!EI30"")"),0)</f>
        <v>0</v>
      </c>
      <c r="N323" s="93">
        <f ca="1">IFERROR(__xludf.DUMMYFUNCTION("IMPORTRANGE(""https://docs.google.com/spreadsheets/d/1MeEWN-I1oV_STSDYn1IFDPWt_1FKiwhDph83XaGc0o0/edit?usp=sharing"",""งบพรบ!EK30"")"),0)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26" ht="18.75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IFERROR(__xludf.DUMMYFUNCTION("IMPORTRANGE(""https://docs.google.com/spreadsheets/d/1QqKyyYR6Q21VydFLVH3TRQUabQu_ym0Zz7PgGX0-kHA/edit?usp=sharing"",""แผน!EF30"")"),1)</f>
        <v>1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IFERROR(__xludf.DUMMYFUNCTION("IMPORTRANGE(""https://docs.google.com/spreadsheets/d/1QqKyyYR6Q21VydFLVH3TRQUabQu_ym0Zz7PgGX0-kHA/edit?usp=sharing"",""แผน!EG30"")"),2500)</f>
        <v>2500</v>
      </c>
      <c r="J327" s="413">
        <f ca="1">J338+J341+J342+J343</f>
        <v>4438</v>
      </c>
      <c r="K327" s="414">
        <f ca="1">IF(I327&gt;0,J327*100/I327,0)</f>
        <v>177.52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4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170000</v>
      </c>
      <c r="M328" s="155">
        <f t="shared" ca="1" si="149"/>
        <v>127500</v>
      </c>
      <c r="N328" s="155">
        <f t="shared" ca="1" si="149"/>
        <v>57188</v>
      </c>
      <c r="O328" s="155">
        <f t="shared" ref="O328:O336" ca="1" si="150">IF(L328&gt;0,N328*100/L328,0)</f>
        <v>33.64</v>
      </c>
      <c r="P328" s="155">
        <f t="shared" ref="P328:P336" ca="1" si="151">IF(M328&gt;0,N328*100/M328,0)</f>
        <v>44.853333333333332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170000</v>
      </c>
      <c r="M330" s="93">
        <f t="shared" ca="1" si="152"/>
        <v>127500</v>
      </c>
      <c r="N330" s="93">
        <f t="shared" ca="1" si="152"/>
        <v>57188</v>
      </c>
      <c r="O330" s="93">
        <f t="shared" ca="1" si="150"/>
        <v>33.64</v>
      </c>
      <c r="P330" s="93">
        <f t="shared" ca="1" si="151"/>
        <v>44.853333333333332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3">L332+L333</f>
        <v>170000</v>
      </c>
      <c r="M331" s="466">
        <f t="shared" ca="1" si="153"/>
        <v>127500</v>
      </c>
      <c r="N331" s="466">
        <f t="shared" ca="1" si="153"/>
        <v>57188</v>
      </c>
      <c r="O331" s="466">
        <f t="shared" ca="1" si="150"/>
        <v>33.64</v>
      </c>
      <c r="P331" s="466">
        <f t="shared" ca="1" si="151"/>
        <v>44.853333333333332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IFERROR(__xludf.DUMMYFUNCTION("IMPORTRANGE(""https://docs.google.com/spreadsheets/d/1MeEWN-I1oV_STSDYn1IFDPWt_1FKiwhDph83XaGc0o0/edit?usp=sharing"",""งบพรบ!EM30"")"),170000)</f>
        <v>170000</v>
      </c>
      <c r="M333" s="93">
        <f ca="1">IFERROR(__xludf.DUMMYFUNCTION("IMPORTRANGE(""https://docs.google.com/spreadsheets/d/1MeEWN-I1oV_STSDYn1IFDPWt_1FKiwhDph83XaGc0o0/edit?usp=sharing"",""งบพรบ!ER30"")"),127500)</f>
        <v>127500</v>
      </c>
      <c r="N333" s="93">
        <f ca="1">IFERROR(__xludf.DUMMYFUNCTION("IMPORTRANGE(""https://docs.google.com/spreadsheets/d/1MeEWN-I1oV_STSDYn1IFDPWt_1FKiwhDph83XaGc0o0/edit?usp=sharing"",""งบพรบ!ET30"")"),57188)</f>
        <v>57188</v>
      </c>
      <c r="O333" s="93">
        <f t="shared" ca="1" si="150"/>
        <v>33.64</v>
      </c>
      <c r="P333" s="93">
        <f t="shared" ca="1" si="151"/>
        <v>44.853333333333332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IFERROR(__xludf.DUMMYFUNCTION("IMPORTRANGE(""https://docs.google.com/spreadsheets/d/1MeEWN-I1oV_STSDYn1IFDPWt_1FKiwhDph83XaGc0o0/edit?usp=sharing"",""งบพรบ!EP30"")"),0)</f>
        <v>0</v>
      </c>
      <c r="M336" s="93">
        <f ca="1">IFERROR(__xludf.DUMMYFUNCTION("IMPORTRANGE(""https://docs.google.com/spreadsheets/d/1MeEWN-I1oV_STSDYn1IFDPWt_1FKiwhDph83XaGc0o0/edit?usp=sharing"",""งบพรบ!ES30"")"),0)</f>
        <v>0</v>
      </c>
      <c r="N336" s="93">
        <f ca="1">IFERROR(__xludf.DUMMYFUNCTION("IMPORTRANGE(""https://docs.google.com/spreadsheets/d/1MeEWN-I1oV_STSDYn1IFDPWt_1FKiwhDph83XaGc0o0/edit?usp=sharing"",""งบพรบ!EU30"")"),0)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IFERROR(__xludf.DUMMYFUNCTION("IMPORTRANGE(""https://docs.google.com/spreadsheets/d/1QqKyyYR6Q21VydFLVH3TRQUabQu_ym0Zz7PgGX0-kHA/edit?usp=sharing"",""แผน!EG30"")"),2500)</f>
        <v>2500</v>
      </c>
      <c r="J338" s="270">
        <f ca="1">IFERROR(__xludf.DUMMYFUNCTION("IMPORTRANGE(""https://docs.google.com/spreadsheets/d/1kVcqe37tkHyjCSG3S0O1AXqVkqjo8mSIZil3BcpIysc/edit?usp=sharing"",""ศูนย์!D30"")"),4180)</f>
        <v>4180</v>
      </c>
      <c r="K338" s="466">
        <f ca="1">IF(I338&gt;0,J338*100/I338,0)</f>
        <v>167.2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IFERROR(__xludf.DUMMYFUNCTION("IMPORTRANGE(""https://docs.google.com/spreadsheets/d/1QqKyyYR6Q21VydFLVH3TRQUabQu_ym0Zz7PgGX0-kHA/edit?usp=sharing"",""แผน!EH30"")"),6)</f>
        <v>6</v>
      </c>
      <c r="J340" s="270">
        <f ca="1">IFERROR(__xludf.DUMMYFUNCTION("IMPORTRANGE(""https://docs.google.com/spreadsheets/d/1kVcqe37tkHyjCSG3S0O1AXqVkqjo8mSIZil3BcpIysc/edit?usp=sharing"",""ศูนย์!E30"")"),2)</f>
        <v>2</v>
      </c>
      <c r="K340" s="466">
        <f ca="1">IF(I340&gt;0,J340*100/I340,0)</f>
        <v>33.333333333333336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IFERROR(__xludf.DUMMYFUNCTION("IMPORTRANGE(""https://docs.google.com/spreadsheets/d/1kVcqe37tkHyjCSG3S0O1AXqVkqjo8mSIZil3BcpIysc/edit?usp=sharing"",""ศูนย์!F30"")"),258)</f>
        <v>258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IFERROR(__xludf.DUMMYFUNCTION("IMPORTRANGE(""https://docs.google.com/spreadsheets/d/1kVcqe37tkHyjCSG3S0O1AXqVkqjo8mSIZil3BcpIysc/edit?usp=sharing"",""ศูนย์!G30"")"),0)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IFERROR(__xludf.DUMMYFUNCTION("IMPORTRANGE(""https://docs.google.com/spreadsheets/d/1kVcqe37tkHyjCSG3S0O1AXqVkqjo8mSIZil3BcpIysc/edit?usp=sharing"",""ศูนย์!H30"")"),0)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4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668820</v>
      </c>
      <c r="M345" s="155">
        <f t="shared" ca="1" si="155"/>
        <v>533190</v>
      </c>
      <c r="N345" s="155">
        <f t="shared" ca="1" si="155"/>
        <v>300053</v>
      </c>
      <c r="O345" s="155">
        <f t="shared" ref="O345:O353" ca="1" si="156">IF(L345&gt;0,N345*100/L345,0)</f>
        <v>44.863042373134775</v>
      </c>
      <c r="P345" s="155">
        <f t="shared" ref="P345:P353" ca="1" si="157">IF(M345&gt;0,N345*100/M345,0)</f>
        <v>56.275061422757368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668820</v>
      </c>
      <c r="M347" s="93">
        <f t="shared" ca="1" si="158"/>
        <v>533190</v>
      </c>
      <c r="N347" s="93">
        <f t="shared" ca="1" si="158"/>
        <v>300053</v>
      </c>
      <c r="O347" s="93">
        <f t="shared" ca="1" si="156"/>
        <v>44.863042373134775</v>
      </c>
      <c r="P347" s="93">
        <f t="shared" ca="1" si="157"/>
        <v>56.275061422757368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59">L349+L350</f>
        <v>617520</v>
      </c>
      <c r="M348" s="466">
        <f t="shared" ca="1" si="159"/>
        <v>481890</v>
      </c>
      <c r="N348" s="466">
        <f t="shared" ca="1" si="159"/>
        <v>248753</v>
      </c>
      <c r="O348" s="466">
        <f t="shared" ca="1" si="156"/>
        <v>40.282581940665892</v>
      </c>
      <c r="P348" s="466">
        <f t="shared" ca="1" si="157"/>
        <v>51.620286787441117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IFERROR(__xludf.DUMMYFUNCTION("IMPORTRANGE(""https://docs.google.com/spreadsheets/d/1MeEWN-I1oV_STSDYn1IFDPWt_1FKiwhDph83XaGc0o0/edit?usp=sharing"",""งบพรบ!EW30"")"),617520)</f>
        <v>617520</v>
      </c>
      <c r="M350" s="93">
        <f ca="1">IFERROR(__xludf.DUMMYFUNCTION("IMPORTRANGE(""https://docs.google.com/spreadsheets/d/1MeEWN-I1oV_STSDYn1IFDPWt_1FKiwhDph83XaGc0o0/edit?usp=sharing"",""งบพรบ!FB30"")"),481890)</f>
        <v>481890</v>
      </c>
      <c r="N350" s="93">
        <f ca="1">IFERROR(__xludf.DUMMYFUNCTION("IMPORTRANGE(""https://docs.google.com/spreadsheets/d/1MeEWN-I1oV_STSDYn1IFDPWt_1FKiwhDph83XaGc0o0/edit?usp=sharing"",""งบพรบ!FD30"")"),248753)</f>
        <v>248753</v>
      </c>
      <c r="O350" s="93">
        <f t="shared" ca="1" si="156"/>
        <v>40.282581940665892</v>
      </c>
      <c r="P350" s="93">
        <f t="shared" ca="1" si="157"/>
        <v>51.620286787441117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51300</v>
      </c>
      <c r="M351" s="466">
        <f t="shared" ca="1" si="160"/>
        <v>51300</v>
      </c>
      <c r="N351" s="466">
        <f t="shared" ca="1" si="160"/>
        <v>51300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IFERROR(__xludf.DUMMYFUNCTION("IMPORTRANGE(""https://docs.google.com/spreadsheets/d/1MeEWN-I1oV_STSDYn1IFDPWt_1FKiwhDph83XaGc0o0/edit?usp=sharing"",""งบพรบ!EZ30"")"),51300)</f>
        <v>51300</v>
      </c>
      <c r="M353" s="93">
        <f ca="1">IFERROR(__xludf.DUMMYFUNCTION("IMPORTRANGE(""https://docs.google.com/spreadsheets/d/1MeEWN-I1oV_STSDYn1IFDPWt_1FKiwhDph83XaGc0o0/edit?usp=sharing"",""งบพรบ!FC30"")"),51300)</f>
        <v>51300</v>
      </c>
      <c r="N353" s="93">
        <f ca="1">IFERROR(__xludf.DUMMYFUNCTION("IMPORTRANGE(""https://docs.google.com/spreadsheets/d/1MeEWN-I1oV_STSDYn1IFDPWt_1FKiwhDph83XaGc0o0/edit?usp=sharing"",""งบพรบ!FE30"")"),51300)</f>
        <v>51300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IFERROR(__xludf.DUMMYFUNCTION("IMPORTRANGE(""https://docs.google.com/spreadsheets/d/1QqKyyYR6Q21VydFLVH3TRQUabQu_ym0Zz7PgGX0-kHA/edit?usp=sharing"",""แผน!EP30"")"),200)</f>
        <v>200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IFERROR(__xludf.DUMMYFUNCTION("IMPORTRANGE(""https://docs.google.com/spreadsheets/d/1XWAQStnk-4SwqDmLtmXYiTMKHgktTP8We1SCoS47DrQ/edit?usp=sharing"",""จัดที่ดิน!W30"")"),97)</f>
        <v>97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IFERROR(__xludf.DUMMYFUNCTION("IMPORTRANGE(""https://docs.google.com/spreadsheets/d/1QqKyyYR6Q21VydFLVH3TRQUabQu_ym0Zz7PgGX0-kHA/edit?usp=sharing"",""แผน!EO30"")"),2000)</f>
        <v>2000</v>
      </c>
      <c r="J359" s="270">
        <f ca="1">IFERROR(__xludf.DUMMYFUNCTION("IMPORTRANGE(""https://docs.google.com/spreadsheets/d/1XWAQStnk-4SwqDmLtmXYiTMKHgktTP8We1SCoS47DrQ/edit?usp=sharing"",""จัดที่ดิน!X30"")"),1056.62)</f>
        <v>1056.6199999999999</v>
      </c>
      <c r="K359" s="466">
        <f t="shared" ca="1" si="161"/>
        <v>52.830999999999996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IFERROR(__xludf.DUMMYFUNCTION("IMPORTRANGE(""https://docs.google.com/spreadsheets/d/1QqKyyYR6Q21VydFLVH3TRQUabQu_ym0Zz7PgGX0-kHA/edit?usp=sharing"",""แผน!EP30"")"),200)</f>
        <v>200</v>
      </c>
      <c r="J360" s="270">
        <f ca="1">IFERROR(__xludf.DUMMYFUNCTION("IMPORTRANGE(""https://docs.google.com/spreadsheets/d/1XWAQStnk-4SwqDmLtmXYiTMKHgktTP8We1SCoS47DrQ/edit?usp=sharing"",""จัดที่ดิน!Y30"")"),8)</f>
        <v>8</v>
      </c>
      <c r="K360" s="466">
        <f t="shared" ca="1" si="161"/>
        <v>4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IFERROR(__xludf.DUMMYFUNCTION("IMPORTRANGE(""https://docs.google.com/spreadsheets/d/1XWAQStnk-4SwqDmLtmXYiTMKHgktTP8We1SCoS47DrQ/edit?usp=sharing"",""จัดที่ดิน!Z30"")"),22.29)</f>
        <v>22.29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IFERROR(__xludf.DUMMYFUNCTION("IMPORTRANGE(""https://docs.google.com/spreadsheets/d/1QqKyyYR6Q21VydFLVH3TRQUabQu_ym0Zz7PgGX0-kHA/edit?usp=sharing"",""แผน!EP30"")"),200)</f>
        <v>200</v>
      </c>
      <c r="J362" s="270">
        <f ca="1">IFERROR(__xludf.DUMMYFUNCTION("IMPORTRANGE(""https://docs.google.com/spreadsheets/d/1XWAQStnk-4SwqDmLtmXYiTMKHgktTP8We1SCoS47DrQ/edit?usp=sharing"",""จัดที่ดิน!AA30"")"),0)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IFERROR(__xludf.DUMMYFUNCTION("IMPORTRANGE(""https://docs.google.com/spreadsheets/d/1XWAQStnk-4SwqDmLtmXYiTMKHgktTP8We1SCoS47DrQ/edit?usp=sharing"",""จัดที่ดิน!AB30"")"),0)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450</v>
      </c>
      <c r="J364" s="447">
        <f t="shared" ca="1" si="162"/>
        <v>83</v>
      </c>
      <c r="K364" s="448">
        <f t="shared" ca="1" si="161"/>
        <v>18.444444444444443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IFERROR(__xludf.DUMMYFUNCTION("IMPORTRANGE(""https://docs.google.com/spreadsheets/d/1QqKyyYR6Q21VydFLVH3TRQUabQu_ym0Zz7PgGX0-kHA/edit?usp=sharing"",""แผน!EJ30"")"),50)</f>
        <v>50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IFERROR(__xludf.DUMMYFUNCTION("IMPORTRANGE(""https://docs.google.com/spreadsheets/d/1XWAQStnk-4SwqDmLtmXYiTMKHgktTP8We1SCoS47DrQ/edit?usp=sharing"",""จัดที่ดิน!E30"")"),19)</f>
        <v>19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IFERROR(__xludf.DUMMYFUNCTION("IMPORTRANGE(""https://docs.google.com/spreadsheets/d/1QqKyyYR6Q21VydFLVH3TRQUabQu_ym0Zz7PgGX0-kHA/edit?usp=sharing"",""แผน!EI30"")"),500)</f>
        <v>500</v>
      </c>
      <c r="J369" s="270">
        <f ca="1">IFERROR(__xludf.DUMMYFUNCTION("IMPORTRANGE(""https://docs.google.com/spreadsheets/d/1XWAQStnk-4SwqDmLtmXYiTMKHgktTP8We1SCoS47DrQ/edit?usp=sharing"",""จัดที่ดิน!F30"")"),147.3)</f>
        <v>147.30000000000001</v>
      </c>
      <c r="K369" s="466">
        <f t="shared" ca="1" si="163"/>
        <v>29.460000000000004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IFERROR(__xludf.DUMMYFUNCTION("IMPORTRANGE(""https://docs.google.com/spreadsheets/d/1QqKyyYR6Q21VydFLVH3TRQUabQu_ym0Zz7PgGX0-kHA/edit?usp=sharing"",""แผน!EJ30"")"),50)</f>
        <v>50</v>
      </c>
      <c r="J370" s="270">
        <f ca="1">IFERROR(__xludf.DUMMYFUNCTION("IMPORTRANGE(""https://docs.google.com/spreadsheets/d/1XWAQStnk-4SwqDmLtmXYiTMKHgktTP8We1SCoS47DrQ/edit?usp=sharing"",""จัดที่ดิน!G30"")"),8)</f>
        <v>8</v>
      </c>
      <c r="K370" s="466">
        <f t="shared" ca="1" si="163"/>
        <v>16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IFERROR(__xludf.DUMMYFUNCTION("IMPORTRANGE(""https://docs.google.com/spreadsheets/d/1XWAQStnk-4SwqDmLtmXYiTMKHgktTP8We1SCoS47DrQ/edit?usp=sharing"",""จัดที่ดิน!H30"")"),22.29)</f>
        <v>22.29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IFERROR(__xludf.DUMMYFUNCTION("IMPORTRANGE(""https://docs.google.com/spreadsheets/d/1QqKyyYR6Q21VydFLVH3TRQUabQu_ym0Zz7PgGX0-kHA/edit?usp=sharing"",""แผน!EJ30"")"),50)</f>
        <v>50</v>
      </c>
      <c r="J372" s="270">
        <f ca="1">IFERROR(__xludf.DUMMYFUNCTION("IMPORTRANGE(""https://docs.google.com/spreadsheets/d/1XWAQStnk-4SwqDmLtmXYiTMKHgktTP8We1SCoS47DrQ/edit?usp=sharing"",""จัดที่ดิน!I30"")"),0)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IFERROR(__xludf.DUMMYFUNCTION("IMPORTRANGE(""https://docs.google.com/spreadsheets/d/1XWAQStnk-4SwqDmLtmXYiTMKHgktTP8We1SCoS47DrQ/edit?usp=sharing"",""จัดที่ดิน!J30"")"),0)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IFERROR(__xludf.DUMMYFUNCTION("IMPORTRANGE(""https://docs.google.com/spreadsheets/d/1QqKyyYR6Q21VydFLVH3TRQUabQu_ym0Zz7PgGX0-kHA/edit?usp=sharing"",""แผน!EU30"")"),400)</f>
        <v>400</v>
      </c>
      <c r="J374" s="459">
        <f ca="1">J381</f>
        <v>83</v>
      </c>
      <c r="K374" s="460">
        <f t="shared" ca="1" si="163"/>
        <v>20.75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IFERROR(__xludf.DUMMYFUNCTION("IMPORTRANGE(""https://docs.google.com/spreadsheets/d/1XWAQStnk-4SwqDmLtmXYiTMKHgktTP8We1SCoS47DrQ/edit?usp=sharing"",""จัดที่ดิน!AH30"")"),78)</f>
        <v>78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IFERROR(__xludf.DUMMYFUNCTION("IMPORTRANGE(""https://docs.google.com/spreadsheets/d/1QqKyyYR6Q21VydFLVH3TRQUabQu_ym0Zz7PgGX0-kHA/edit?usp=sharing"",""แผน!ET30"")"),1500)</f>
        <v>1500</v>
      </c>
      <c r="J378" s="270">
        <f ca="1">IFERROR(__xludf.DUMMYFUNCTION("IMPORTRANGE(""https://docs.google.com/spreadsheets/d/1XWAQStnk-4SwqDmLtmXYiTMKHgktTP8We1SCoS47DrQ/edit?usp=sharing"",""จัดที่ดิน!AI30"")"),909.32)</f>
        <v>909.32</v>
      </c>
      <c r="K378" s="466">
        <f t="shared" ca="1" si="164"/>
        <v>60.621333333333332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IFERROR(__xludf.DUMMYFUNCTION("IMPORTRANGE(""https://docs.google.com/spreadsheets/d/1QqKyyYR6Q21VydFLVH3TRQUabQu_ym0Zz7PgGX0-kHA/edit?usp=sharing"",""แผน!EU30"")"),400)</f>
        <v>400</v>
      </c>
      <c r="J379" s="270">
        <f ca="1">IFERROR(__xludf.DUMMYFUNCTION("IMPORTRANGE(""https://docs.google.com/spreadsheets/d/1XWAQStnk-4SwqDmLtmXYiTMKHgktTP8We1SCoS47DrQ/edit?usp=sharing"",""จัดที่ดิน!AJ30"")"),85)</f>
        <v>85</v>
      </c>
      <c r="K379" s="466">
        <f t="shared" ca="1" si="164"/>
        <v>21.25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IFERROR(__xludf.DUMMYFUNCTION("IMPORTRANGE(""https://docs.google.com/spreadsheets/d/1XWAQStnk-4SwqDmLtmXYiTMKHgktTP8We1SCoS47DrQ/edit?usp=sharing"",""จัดที่ดิน!AK30"")"),2002.11)</f>
        <v>2002.11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IFERROR(__xludf.DUMMYFUNCTION("IMPORTRANGE(""https://docs.google.com/spreadsheets/d/1QqKyyYR6Q21VydFLVH3TRQUabQu_ym0Zz7PgGX0-kHA/edit?usp=sharing"",""แผน!EU30"")"),400)</f>
        <v>400</v>
      </c>
      <c r="J381" s="270">
        <f ca="1">IFERROR(__xludf.DUMMYFUNCTION("IMPORTRANGE(""https://docs.google.com/spreadsheets/d/1XWAQStnk-4SwqDmLtmXYiTMKHgktTP8We1SCoS47DrQ/edit?usp=sharing"",""จัดที่ดิน!AL30"")"),83)</f>
        <v>83</v>
      </c>
      <c r="K381" s="466">
        <f t="shared" ca="1" si="164"/>
        <v>20.75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IFERROR(__xludf.DUMMYFUNCTION("IMPORTRANGE(""https://docs.google.com/spreadsheets/d/1XWAQStnk-4SwqDmLtmXYiTMKHgktTP8We1SCoS47DrQ/edit?usp=sharing"",""จัดที่ดิน!AM30"")"),1887.76)</f>
        <v>1887.76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IFERROR(__xludf.DUMMYFUNCTION("IMPORTRANGE(""https://docs.google.com/spreadsheets/d/1QqKyyYR6Q21VydFLVH3TRQUabQu_ym0Zz7PgGX0-kHA/edit?usp=sharing"",""แผน!EW30"")"),60)</f>
        <v>60</v>
      </c>
      <c r="J385" s="469">
        <f ca="1">IFERROR(__xludf.DUMMYFUNCTION("IMPORTRANGE(""https://docs.google.com/spreadsheets/d/1XWAQStnk-4SwqDmLtmXYiTMKHgktTP8We1SCoS47DrQ/edit?usp=sharing"",""จัดที่ดิน!AP30"")"),0)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4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IFERROR(__xludf.DUMMYFUNCTION("IMPORTRANGE(""https://docs.google.com/spreadsheets/d/1MeEWN-I1oV_STSDYn1IFDPWt_1FKiwhDph83XaGc0o0/edit?usp=sharing"",""งบพรบ!FG30"")"),0)</f>
        <v>0</v>
      </c>
      <c r="M394" s="93">
        <f ca="1">IFERROR(__xludf.DUMMYFUNCTION("IMPORTRANGE(""https://docs.google.com/spreadsheets/d/1MeEWN-I1oV_STSDYn1IFDPWt_1FKiwhDph83XaGc0o0/edit?usp=sharing"",""งบพรบ!FL30"")"),0)</f>
        <v>0</v>
      </c>
      <c r="N394" s="93">
        <f ca="1">IFERROR(__xludf.DUMMYFUNCTION("IMPORTRANGE(""https://docs.google.com/spreadsheets/d/1MeEWN-I1oV_STSDYn1IFDPWt_1FKiwhDph83XaGc0o0/edit?usp=sharing"",""งบพรบ!FN30"")"),0)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IFERROR(__xludf.DUMMYFUNCTION("IMPORTRANGE(""https://docs.google.com/spreadsheets/d/1MeEWN-I1oV_STSDYn1IFDPWt_1FKiwhDph83XaGc0o0/edit?usp=sharing"",""งบพรบ!FJ30"")"),0)</f>
        <v>0</v>
      </c>
      <c r="M397" s="93">
        <f ca="1">IFERROR(__xludf.DUMMYFUNCTION("IMPORTRANGE(""https://docs.google.com/spreadsheets/d/1MeEWN-I1oV_STSDYn1IFDPWt_1FKiwhDph83XaGc0o0/edit?usp=sharing"",""งบพรบ!FM30"")"),0)</f>
        <v>0</v>
      </c>
      <c r="N397" s="93">
        <f ca="1">IFERROR(__xludf.DUMMYFUNCTION("IMPORTRANGE(""https://docs.google.com/spreadsheets/d/1MeEWN-I1oV_STSDYn1IFDPWt_1FKiwhDph83XaGc0o0/edit?usp=sharing"",""งบพรบ!FO30"")"),0)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4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IFERROR(__xludf.DUMMYFUNCTION("IMPORTRANGE(""https://docs.google.com/spreadsheets/d/1MeEWN-I1oV_STSDYn1IFDPWt_1FKiwhDph83XaGc0o0/edit?usp=sharing"",""งบพรบ!FQ30"")"),0)</f>
        <v>0</v>
      </c>
      <c r="M407" s="93">
        <f ca="1">IFERROR(__xludf.DUMMYFUNCTION("IMPORTRANGE(""https://docs.google.com/spreadsheets/d/1MeEWN-I1oV_STSDYn1IFDPWt_1FKiwhDph83XaGc0o0/edit?usp=sharing"",""งบพรบ!FV30"")"),0)</f>
        <v>0</v>
      </c>
      <c r="N407" s="93">
        <f ca="1">IFERROR(__xludf.DUMMYFUNCTION("IMPORTRANGE(""https://docs.google.com/spreadsheets/d/1MeEWN-I1oV_STSDYn1IFDPWt_1FKiwhDph83XaGc0o0/edit?usp=sharing"",""งบพรบ!FX30"")"),0)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IFERROR(__xludf.DUMMYFUNCTION("IMPORTRANGE(""https://docs.google.com/spreadsheets/d/1MeEWN-I1oV_STSDYn1IFDPWt_1FKiwhDph83XaGc0o0/edit?usp=sharing"",""งบพรบ!FT30"")"),0)</f>
        <v>0</v>
      </c>
      <c r="M410" s="93">
        <f ca="1">IFERROR(__xludf.DUMMYFUNCTION("IMPORTRANGE(""https://docs.google.com/spreadsheets/d/1MeEWN-I1oV_STSDYn1IFDPWt_1FKiwhDph83XaGc0o0/edit?usp=sharing"",""งบพรบ!FW30"")"),0)</f>
        <v>0</v>
      </c>
      <c r="N410" s="93">
        <f ca="1">IFERROR(__xludf.DUMMYFUNCTION("IMPORTRANGE(""https://docs.google.com/spreadsheets/d/1MeEWN-I1oV_STSDYn1IFDPWt_1FKiwhDph83XaGc0o0/edit?usp=sharing"",""งบพรบ!FY30"")"),0)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2925766</v>
      </c>
      <c r="M414" s="517">
        <f t="shared" si="181"/>
        <v>0</v>
      </c>
      <c r="N414" s="517">
        <f t="shared" si="181"/>
        <v>650232.69999999995</v>
      </c>
      <c r="O414" s="517">
        <f ca="1">IF(L414&gt;0,N414*100/L414,0)</f>
        <v>22.224357655396908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39775</v>
      </c>
      <c r="O419" s="155">
        <f t="shared" ref="O419:O424" ca="1" si="185">IF(L419&gt;0,N419*100/L419,0)</f>
        <v>50.565725908975338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39775</v>
      </c>
      <c r="O421" s="93">
        <f t="shared" ca="1" si="185"/>
        <v>50.565725908975338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si="188"/>
        <v>0</v>
      </c>
      <c r="N422" s="466">
        <f t="shared" si="188"/>
        <v>39775</v>
      </c>
      <c r="O422" s="466">
        <f t="shared" ca="1" si="185"/>
        <v>50.565725908975338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IFERROR(__xludf.DUMMYFUNCTION("IMPORTRANGE(""https://docs.google.com/spreadsheets/d/1QqKyyYR6Q21VydFLVH3TRQUabQu_ym0Zz7PgGX0-kHA/edit?usp=sharing"",""แผน!EY30"")"),78660)</f>
        <v>78660</v>
      </c>
      <c r="M424" s="93">
        <v>0</v>
      </c>
      <c r="N424" s="93">
        <f>N425+N426+N427+N428</f>
        <v>39775</v>
      </c>
      <c r="O424" s="93">
        <f t="shared" ca="1" si="185"/>
        <v>50.565725908975338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v>30475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v>9300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20</v>
      </c>
      <c r="J433" s="648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t="shared" ref="I434:J434" ca="1" si="193">I438+I440</f>
        <v>1</v>
      </c>
      <c r="J434" s="648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IFERROR(__xludf.DUMMYFUNCTION("IMPORTRANGE(""https://docs.google.com/spreadsheets/d/1QqKyyYR6Q21VydFLVH3TRQUabQu_ym0Zz7PgGX0-kHA/edit?usp=sharing"",""แผน!FC30"")"),20)</f>
        <v>20</v>
      </c>
      <c r="J435" s="549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IFERROR(__xludf.DUMMYFUNCTION("IMPORTRANGE(""https://docs.google.com/spreadsheets/d/1QqKyyYR6Q21VydFLVH3TRQUabQu_ym0Zz7PgGX0-kHA/edit?usp=sharing"",""แผน!FD30"")"),0)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IFERROR(__xludf.DUMMYFUNCTION("IMPORTRANGE(""https://docs.google.com/spreadsheets/d/1QqKyyYR6Q21VydFLVH3TRQUabQu_ym0Zz7PgGX0-kHA/edit?usp=sharing"",""แผน!FE30"")"),0)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IFERROR(__xludf.DUMMYFUNCTION("IMPORTRANGE(""https://docs.google.com/spreadsheets/d/1QqKyyYR6Q21VydFLVH3TRQUabQu_ym0Zz7PgGX0-kHA/edit?usp=sharing"",""แผน!FF30"")"),20)</f>
        <v>20</v>
      </c>
      <c r="J439" s="549">
        <v>0</v>
      </c>
      <c r="K439" s="466">
        <f t="shared" ca="1" si="194"/>
        <v>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IFERROR(__xludf.DUMMYFUNCTION("IMPORTRANGE(""https://docs.google.com/spreadsheets/d/1QqKyyYR6Q21VydFLVH3TRQUabQu_ym0Zz7PgGX0-kHA/edit?usp=sharing"",""แผน!FG30"")"),1)</f>
        <v>1</v>
      </c>
      <c r="J440" s="215">
        <v>0</v>
      </c>
      <c r="K440" s="466">
        <f t="shared" ca="1" si="194"/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IFERROR(__xludf.DUMMYFUNCTION("IMPORTRANGE(""https://docs.google.com/spreadsheets/d/1QqKyyYR6Q21VydFLVH3TRQUabQu_ym0Zz7PgGX0-kHA/edit?usp=sharing"",""แผน!FH30"")"),0)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60</v>
      </c>
      <c r="J442" s="555">
        <f t="shared" si="195"/>
        <v>60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100</v>
      </c>
      <c r="J443" s="533">
        <f t="shared" si="196"/>
        <v>100</v>
      </c>
      <c r="K443" s="534">
        <f t="shared" ca="1" si="194"/>
        <v>100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370600</v>
      </c>
      <c r="M444" s="195">
        <f t="shared" si="197"/>
        <v>0</v>
      </c>
      <c r="N444" s="195">
        <f t="shared" si="197"/>
        <v>109975</v>
      </c>
      <c r="O444" s="195">
        <f t="shared" ref="O444:O449" ca="1" si="198">IF(L444&gt;0,N444*100/L444,0)</f>
        <v>29.674851592012953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0"/>
        <v>370600</v>
      </c>
      <c r="M446" s="93">
        <f t="shared" si="200"/>
        <v>0</v>
      </c>
      <c r="N446" s="93">
        <f t="shared" si="200"/>
        <v>109975</v>
      </c>
      <c r="O446" s="93">
        <f t="shared" ca="1" si="198"/>
        <v>29.674851592012953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1">L448+L449</f>
        <v>370600</v>
      </c>
      <c r="M447" s="466">
        <f t="shared" si="201"/>
        <v>0</v>
      </c>
      <c r="N447" s="466">
        <f t="shared" si="201"/>
        <v>109975</v>
      </c>
      <c r="O447" s="466">
        <f t="shared" ca="1" si="198"/>
        <v>29.674851592012953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IFERROR(__xludf.DUMMYFUNCTION("IMPORTRANGE(""https://docs.google.com/spreadsheets/d/1QqKyyYR6Q21VydFLVH3TRQUabQu_ym0Zz7PgGX0-kHA/edit?usp=sharing"",""แผน!FJ30"")"),370600)</f>
        <v>370600</v>
      </c>
      <c r="M449" s="93">
        <v>0</v>
      </c>
      <c r="N449" s="93">
        <f>N450+N451+N452+N453</f>
        <v>109975</v>
      </c>
      <c r="O449" s="93">
        <f t="shared" ca="1" si="198"/>
        <v>29.674851592012953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v>56095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v>39000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v>14880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IFERROR(__xludf.DUMMYFUNCTION("IMPORTRANGE(""https://docs.google.com/spreadsheets/d/1QqKyyYR6Q21VydFLVH3TRQUabQu_ym0Zz7PgGX0-kHA/edit?usp=sharing"",""แผน!FN30"")"),60)</f>
        <v>60</v>
      </c>
      <c r="J460" s="215">
        <v>60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IFERROR(__xludf.DUMMYFUNCTION("IMPORTRANGE(""https://docs.google.com/spreadsheets/d/1QqKyyYR6Q21VydFLVH3TRQUabQu_ym0Zz7PgGX0-kHA/edit?usp=sharing"",""แผน!FO30"")"),100)</f>
        <v>100</v>
      </c>
      <c r="J462" s="215">
        <v>100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IFERROR(__xludf.DUMMYFUNCTION("IMPORTRANGE(""https://docs.google.com/spreadsheets/d/1QqKyyYR6Q21VydFLVH3TRQUabQu_ym0Zz7PgGX0-kHA/edit?usp=sharing"",""แผน!FO30"")"),100)</f>
        <v>100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IFERROR(__xludf.DUMMYFUNCTION("IMPORTRANGE(""https://docs.google.com/spreadsheets/d/1QqKyyYR6Q21VydFLVH3TRQUabQu_ym0Zz7PgGX0-kHA/edit?usp=sharing"",""แผน!FN30"")"),60)</f>
        <v>60</v>
      </c>
      <c r="J464" s="215">
        <v>60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IFERROR(__xludf.DUMMYFUNCTION("IMPORTRANGE(""https://docs.google.com/spreadsheets/d/1QqKyyYR6Q21VydFLVH3TRQUabQu_ym0Zz7PgGX0-kHA/edit?usp=sharing"",""แผน!FX30"")"),131)</f>
        <v>131</v>
      </c>
      <c r="J465" s="555">
        <f>J485+J489+J492</f>
        <v>131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IFERROR(__xludf.DUMMYFUNCTION("IMPORTRANGE(""https://docs.google.com/spreadsheets/d/1QqKyyYR6Q21VydFLVH3TRQUabQu_ym0Zz7PgGX0-kHA/edit?usp=sharing"",""แผน!FW30"")"),1300)</f>
        <v>1300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1167048</v>
      </c>
      <c r="M467" s="195">
        <f t="shared" si="206"/>
        <v>0</v>
      </c>
      <c r="N467" s="195">
        <f t="shared" si="206"/>
        <v>209538</v>
      </c>
      <c r="O467" s="195">
        <f t="shared" ref="O467:O472" ca="1" si="207">IF(L467&gt;0,N467*100/L467,0)</f>
        <v>17.954531433154422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09"/>
        <v>1167048</v>
      </c>
      <c r="M469" s="93">
        <f t="shared" si="209"/>
        <v>0</v>
      </c>
      <c r="N469" s="93">
        <f t="shared" si="209"/>
        <v>209538</v>
      </c>
      <c r="O469" s="93">
        <f t="shared" ca="1" si="207"/>
        <v>17.954531433154422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0">L471+L472</f>
        <v>1167048</v>
      </c>
      <c r="M470" s="466">
        <f t="shared" si="210"/>
        <v>0</v>
      </c>
      <c r="N470" s="466">
        <f t="shared" si="210"/>
        <v>209538</v>
      </c>
      <c r="O470" s="466">
        <f t="shared" ca="1" si="207"/>
        <v>17.954531433154422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IFERROR(__xludf.DUMMYFUNCTION("IMPORTRANGE(""https://docs.google.com/spreadsheets/d/1QqKyyYR6Q21VydFLVH3TRQUabQu_ym0Zz7PgGX0-kHA/edit?usp=sharing"",""แผน!FS30"")"),1167048)</f>
        <v>1167048</v>
      </c>
      <c r="M472" s="93">
        <v>0</v>
      </c>
      <c r="N472" s="93">
        <f>N473+N474+N475+N476</f>
        <v>209538</v>
      </c>
      <c r="O472" s="93">
        <f t="shared" ca="1" si="207"/>
        <v>17.954531433154422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>
        <v>137939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v>38161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v>33438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IFERROR(__xludf.DUMMYFUNCTION("IMPORTRANGE(""https://docs.google.com/spreadsheets/d/1QqKyyYR6Q21VydFLVH3TRQUabQu_ym0Zz7PgGX0-kHA/edit?usp=sharing"",""แผน!FY30"")"),1170)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IFERROR(__xludf.DUMMYFUNCTION("IMPORTRANGE(""https://docs.google.com/spreadsheets/d/1QqKyyYR6Q21VydFLVH3TRQUabQu_ym0Zz7PgGX0-kHA/edit?usp=sharing"",""แผน!FZ30"")"),117)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IFERROR(__xludf.DUMMYFUNCTION("IMPORTRANGE(""https://docs.google.com/spreadsheets/d/1QqKyyYR6Q21VydFLVH3TRQUabQu_ym0Zz7PgGX0-kHA/edit?usp=sharing"",""แผน!GA30"")"),130)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IFERROR(__xludf.DUMMYFUNCTION("IMPORTRANGE(""https://docs.google.com/spreadsheets/d/1QqKyyYR6Q21VydFLVH3TRQUabQu_ym0Zz7PgGX0-kHA/edit?usp=sharing"",""แผน!GB30"")"),13)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IFERROR(__xludf.DUMMYFUNCTION("IMPORTRANGE(""https://docs.google.com/spreadsheets/d/1QqKyyYR6Q21VydFLVH3TRQUabQu_ym0Zz7PgGX0-kHA/edit?usp=sharing"",""แผน!GC30"")"),1)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IFERROR(__xludf.DUMMYFUNCTION("IMPORTRANGE(""https://docs.google.com/spreadsheets/d/1QqKyyYR6Q21VydFLVH3TRQUabQu_ym0Zz7PgGX0-kHA/edit?usp=sharing"",""แผน!FY30"")"),1170)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IFERROR(__xludf.DUMMYFUNCTION("IMPORTRANGE(""https://docs.google.com/spreadsheets/d/1QqKyyYR6Q21VydFLVH3TRQUabQu_ym0Zz7PgGX0-kHA/edit?usp=sharing"",""แผน!GA30"")"),130)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6">L503+L504</f>
        <v>0</v>
      </c>
      <c r="M502" s="614">
        <f t="shared" si="216"/>
        <v>0</v>
      </c>
      <c r="N502" s="614">
        <f t="shared" si="216"/>
        <v>0</v>
      </c>
      <c r="O502" s="614">
        <f t="shared" ref="O502:O507" si="217">IF(L502&gt;0,N502*100/L502,0)</f>
        <v>0</v>
      </c>
      <c r="P502" s="614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6"/>
      <c r="D505" s="853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853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5">I537</f>
        <v>80</v>
      </c>
      <c r="J522" s="675">
        <f t="shared" ca="1" si="225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652760</v>
      </c>
      <c r="M523" s="195">
        <f t="shared" si="226"/>
        <v>0</v>
      </c>
      <c r="N523" s="195">
        <f t="shared" si="226"/>
        <v>148970</v>
      </c>
      <c r="O523" s="195">
        <f t="shared" ref="O523:O528" ca="1" si="227">IF(L523&gt;0,N523*100/L523,0)</f>
        <v>22.82155769348612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29"/>
        <v>652760</v>
      </c>
      <c r="M525" s="93">
        <f t="shared" si="229"/>
        <v>0</v>
      </c>
      <c r="N525" s="93">
        <f t="shared" si="229"/>
        <v>148970</v>
      </c>
      <c r="O525" s="93">
        <f t="shared" ca="1" si="227"/>
        <v>22.82155769348612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0">L527+L528</f>
        <v>652760</v>
      </c>
      <c r="M526" s="466">
        <f t="shared" si="230"/>
        <v>0</v>
      </c>
      <c r="N526" s="466">
        <f t="shared" si="230"/>
        <v>148970</v>
      </c>
      <c r="O526" s="466">
        <f t="shared" ca="1" si="227"/>
        <v>22.82155769348612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IFERROR(__xludf.DUMMYFUNCTION("IMPORTRANGE(""https://docs.google.com/spreadsheets/d/1QqKyyYR6Q21VydFLVH3TRQUabQu_ym0Zz7PgGX0-kHA/edit?usp=sharing"",""แผน!GQ30"")"),652760)</f>
        <v>652760</v>
      </c>
      <c r="M528" s="93">
        <v>0</v>
      </c>
      <c r="N528" s="93">
        <f>N529+N530+N531+N532</f>
        <v>148970</v>
      </c>
      <c r="O528" s="93">
        <f t="shared" ca="1" si="227"/>
        <v>22.82155769348612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141470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7500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IFERROR(__xludf.DUMMYFUNCTION("IMPORTRANGE(""https://docs.google.com/spreadsheets/d/1QqKyyYR6Q21VydFLVH3TRQUabQu_ym0Zz7PgGX0-kHA/edit?usp=sharing"",""แผน!GU30"")"),80)</f>
        <v>80</v>
      </c>
      <c r="J537" s="648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IFERROR(__xludf.DUMMYFUNCTION("IMPORTRANGE(""https://docs.google.com/spreadsheets/d/1QqKyyYR6Q21VydFLVH3TRQUabQu_ym0Zz7PgGX0-kHA/edit?usp=sharing"",""แผน!GV30"")"),80)</f>
        <v>80</v>
      </c>
      <c r="J538" s="215">
        <v>40</v>
      </c>
      <c r="K538" s="466">
        <f t="shared" ca="1" si="234"/>
        <v>50</v>
      </c>
      <c r="L538" s="466"/>
      <c r="M538" s="466"/>
      <c r="N538" s="466"/>
      <c r="O538" s="466"/>
      <c r="P538" s="466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IFERROR(__xludf.DUMMYFUNCTION("IMPORTRANGE(""https://docs.google.com/spreadsheets/d/1QqKyyYR6Q21VydFLVH3TRQUabQu_ym0Zz7PgGX0-kHA/edit?usp=sharing"",""แผน!GW30"")"),0)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IFERROR(__xludf.DUMMYFUNCTION("IMPORTRANGE(""https://docs.google.com/spreadsheets/d/1QqKyyYR6Q21VydFLVH3TRQUabQu_ym0Zz7PgGX0-kHA/edit?usp=sharing"",""แผน!GX30"")"),0)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IFERROR(__xludf.DUMMYFUNCTION("IMPORTRANGE(""https://docs.google.com/spreadsheets/d/1QqKyyYR6Q21VydFLVH3TRQUabQu_ym0Zz7PgGX0-kHA/edit?usp=sharing"",""แผน!GY30"")"),80)</f>
        <v>80</v>
      </c>
      <c r="J541" s="215">
        <v>24</v>
      </c>
      <c r="K541" s="466">
        <f t="shared" ca="1" si="234"/>
        <v>30</v>
      </c>
      <c r="L541" s="466"/>
      <c r="M541" s="466"/>
      <c r="N541" s="466"/>
      <c r="O541" s="466"/>
      <c r="P541" s="466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IFERROR(__xludf.DUMMYFUNCTION("IMPORTRANGE(""https://docs.google.com/spreadsheets/d/1QqKyyYR6Q21VydFLVH3TRQUabQu_ym0Zz7PgGX0-kHA/edit?usp=sharing"",""แผน!GZ30"")"),80)</f>
        <v>80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5">I559</f>
        <v>53985</v>
      </c>
      <c r="J543" s="654">
        <f t="shared" si="235"/>
        <v>0</v>
      </c>
      <c r="K543" s="655">
        <f t="shared" ca="1" si="234"/>
        <v>0</v>
      </c>
      <c r="L543" s="637"/>
      <c r="M543" s="637"/>
      <c r="N543" s="637"/>
      <c r="O543" s="637"/>
      <c r="P543" s="637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6">L545+L546</f>
        <v>431888</v>
      </c>
      <c r="M544" s="155">
        <f t="shared" si="236"/>
        <v>0</v>
      </c>
      <c r="N544" s="155">
        <f t="shared" si="236"/>
        <v>129275</v>
      </c>
      <c r="O544" s="155">
        <f t="shared" ref="O544:O549" ca="1" si="237">IF(L544&gt;0,N544*100/L544,0)</f>
        <v>29.93252880376394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39"/>
        <v>431888</v>
      </c>
      <c r="M546" s="93">
        <f t="shared" si="240"/>
        <v>0</v>
      </c>
      <c r="N546" s="93">
        <f t="shared" si="240"/>
        <v>129275</v>
      </c>
      <c r="O546" s="93">
        <f t="shared" ca="1" si="237"/>
        <v>29.93252880376394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1">L548+L549</f>
        <v>431888</v>
      </c>
      <c r="M547" s="466">
        <f t="shared" si="241"/>
        <v>0</v>
      </c>
      <c r="N547" s="466">
        <f t="shared" si="241"/>
        <v>129275</v>
      </c>
      <c r="O547" s="466">
        <f t="shared" ca="1" si="237"/>
        <v>29.93252880376394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IFERROR(__xludf.DUMMYFUNCTION("IMPORTRANGE(""https://docs.google.com/spreadsheets/d/1QqKyyYR6Q21VydFLVH3TRQUabQu_ym0Zz7PgGX0-kHA/edit?usp=sharing"",""แผน!HB30"")"),431888)</f>
        <v>431888</v>
      </c>
      <c r="M549" s="93">
        <v>0</v>
      </c>
      <c r="N549" s="93">
        <f>N550+N551+N552+N553+N554</f>
        <v>129275</v>
      </c>
      <c r="O549" s="93">
        <f t="shared" ca="1" si="237"/>
        <v>29.93252880376394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801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801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801">
        <v>38580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801">
        <v>90695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5">I576</f>
        <v>53985</v>
      </c>
      <c r="J559" s="675">
        <f t="shared" si="245"/>
        <v>0</v>
      </c>
      <c r="K559" s="644">
        <f t="shared" ref="K559:K561" ca="1" si="246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9"/>
      <c r="H560" s="734" t="s">
        <v>46</v>
      </c>
      <c r="I560" s="193">
        <f ca="1">IFERROR(__xludf.DUMMYFUNCTION("IMPORTRANGE(""https://docs.google.com/spreadsheets/d/1QqKyyYR6Q21VydFLVH3TRQUabQu_ym0Zz7PgGX0-kHA/edit?usp=sharing"",""แผน!HH30"")"),53985)</f>
        <v>53985</v>
      </c>
      <c r="J560" s="193">
        <f t="shared" ref="J560:J561" si="247">J562+J564+J566</f>
        <v>52855.65</v>
      </c>
      <c r="K560" s="380">
        <f t="shared" ca="1" si="246"/>
        <v>97.908030008335643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9"/>
      <c r="H561" s="734" t="s">
        <v>34</v>
      </c>
      <c r="I561" s="193">
        <f ca="1">IFERROR(__xludf.DUMMYFUNCTION("IMPORTRANGE(""https://docs.google.com/spreadsheets/d/1QqKyyYR6Q21VydFLVH3TRQUabQu_ym0Zz7PgGX0-kHA/edit?usp=sharing"",""แผน!HG30"")"),4693)</f>
        <v>4693</v>
      </c>
      <c r="J561" s="193">
        <f t="shared" si="247"/>
        <v>4636</v>
      </c>
      <c r="K561" s="380">
        <f t="shared" ca="1" si="246"/>
        <v>98.785425101214571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v>38911.18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v>3680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v>10880.29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v>732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v>3064.18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v>224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9"/>
      <c r="H568" s="734" t="s">
        <v>46</v>
      </c>
      <c r="I568" s="193">
        <f ca="1">IFERROR(__xludf.DUMMYFUNCTION("IMPORTRANGE(""https://docs.google.com/spreadsheets/d/1QqKyyYR6Q21VydFLVH3TRQUabQu_ym0Zz7PgGX0-kHA/edit?usp=sharing"",""แผน!HH30"")"),53985)</f>
        <v>53985</v>
      </c>
      <c r="J568" s="648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9"/>
      <c r="H569" s="734" t="s">
        <v>34</v>
      </c>
      <c r="I569" s="193">
        <f ca="1">IFERROR(__xludf.DUMMYFUNCTION("IMPORTRANGE(""https://docs.google.com/spreadsheets/d/1QqKyyYR6Q21VydFLVH3TRQUabQu_ym0Zz7PgGX0-kHA/edit?usp=sharing"",""แผน!HG30"")"),4693)</f>
        <v>4693</v>
      </c>
      <c r="J569" s="648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9"/>
      <c r="H576" s="734" t="s">
        <v>46</v>
      </c>
      <c r="I576" s="193">
        <f ca="1">IFERROR(__xludf.DUMMYFUNCTION("IMPORTRANGE(""https://docs.google.com/spreadsheets/d/1QqKyyYR6Q21VydFLVH3TRQUabQu_ym0Zz7PgGX0-kHA/edit?usp=sharing"",""แผน!HH30"")"),53985)</f>
        <v>53985</v>
      </c>
      <c r="J576" s="648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9"/>
      <c r="H577" s="734" t="s">
        <v>34</v>
      </c>
      <c r="I577" s="193">
        <f ca="1">IFERROR(__xludf.DUMMYFUNCTION("IMPORTRANGE(""https://docs.google.com/spreadsheets/d/1QqKyyYR6Q21VydFLVH3TRQUabQu_ym0Zz7PgGX0-kHA/edit?usp=sharing"",""แผน!HG30"")"),4693)</f>
        <v>4693</v>
      </c>
      <c r="J577" s="648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3">I593</f>
        <v>6005.77</v>
      </c>
      <c r="J592" s="675">
        <f t="shared" si="253"/>
        <v>304</v>
      </c>
      <c r="K592" s="644">
        <f t="shared" ref="K592:K594" ca="1" si="254">IF(I592&gt;0,J592*100/I592,0)</f>
        <v>5.0617989033879081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IFERROR(__xludf.DUMMYFUNCTION("IMPORTRANGE(""https://docs.google.com/spreadsheets/d/1QqKyyYR6Q21VydFLVH3TRQUabQu_ym0Zz7PgGX0-kHA/edit?usp=sharing"",""แผน!HJ30"")"),6005.77)</f>
        <v>6005.77</v>
      </c>
      <c r="J593" s="193">
        <f t="shared" ref="J593:J594" si="255">J595+J603+J609</f>
        <v>304</v>
      </c>
      <c r="K593" s="380">
        <f t="shared" ca="1" si="254"/>
        <v>5.0617989033879081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IFERROR(__xludf.DUMMYFUNCTION("IMPORTRANGE(""https://docs.google.com/spreadsheets/d/1QqKyyYR6Q21VydFLVH3TRQUabQu_ym0Zz7PgGX0-kHA/edit?usp=sharing"",""แผน!HI30"")"),358)</f>
        <v>358</v>
      </c>
      <c r="J594" s="193">
        <f t="shared" si="255"/>
        <v>13</v>
      </c>
      <c r="K594" s="380">
        <f t="shared" ca="1" si="254"/>
        <v>3.6312849162011172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6">J597+J599</f>
        <v>262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6"/>
        <v>11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215">
        <v>262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11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7">J605+J607</f>
        <v>42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24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18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1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8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59">J614+J616</f>
        <v>0</v>
      </c>
      <c r="K612" s="684">
        <f t="shared" si="258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59"/>
        <v>0</v>
      </c>
      <c r="K613" s="684">
        <f t="shared" si="258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IFERROR(__xludf.DUMMYFUNCTION("IMPORTRANGE(""https://docs.google.com/spreadsheets/d/1QqKyyYR6Q21VydFLVH3TRQUabQu_ym0Zz7PgGX0-kHA/edit?usp=sharing"",""แผน!HL30"")"),0)</f>
        <v>0</v>
      </c>
      <c r="J620" s="695">
        <f t="shared" ref="J620:J621" si="260">J622+J624+J626</f>
        <v>0</v>
      </c>
      <c r="K620" s="696">
        <f t="shared" ref="K620:K621" ca="1" si="261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IFERROR(__xludf.DUMMYFUNCTION("IMPORTRANGE(""https://docs.google.com/spreadsheets/d/1QqKyyYR6Q21VydFLVH3TRQUabQu_ym0Zz7PgGX0-kHA/edit?usp=sharing"",""แผน!HK30"")"),0)</f>
        <v>0</v>
      </c>
      <c r="J621" s="695">
        <f t="shared" si="260"/>
        <v>0</v>
      </c>
      <c r="K621" s="696">
        <f t="shared" ca="1" si="261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262">I651</f>
        <v>45</v>
      </c>
      <c r="J628" s="708">
        <f t="shared" ca="1" si="262"/>
        <v>0</v>
      </c>
      <c r="K628" s="709">
        <f ca="1">IF(I628&gt;0,J628*100/I628,0)</f>
        <v>0</v>
      </c>
      <c r="L628" s="710"/>
      <c r="M628" s="710"/>
      <c r="N628" s="710"/>
      <c r="O628" s="710"/>
      <c r="P628" s="710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171750</v>
      </c>
      <c r="M629" s="195">
        <f t="shared" si="263"/>
        <v>0</v>
      </c>
      <c r="N629" s="195">
        <f t="shared" si="263"/>
        <v>7179.7</v>
      </c>
      <c r="O629" s="195">
        <f t="shared" ref="O629:O634" ca="1" si="264">IF(L629&gt;0,N629*100/L629,0)</f>
        <v>4.1803202328966522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6"/>
        <v>171750</v>
      </c>
      <c r="M631" s="93">
        <f t="shared" si="266"/>
        <v>0</v>
      </c>
      <c r="N631" s="93">
        <f t="shared" si="266"/>
        <v>7179.7</v>
      </c>
      <c r="O631" s="93">
        <f t="shared" ca="1" si="264"/>
        <v>4.1803202328966522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7">L633+L634</f>
        <v>171750</v>
      </c>
      <c r="M632" s="466">
        <f t="shared" si="267"/>
        <v>0</v>
      </c>
      <c r="N632" s="466">
        <f t="shared" si="267"/>
        <v>7179.7</v>
      </c>
      <c r="O632" s="466">
        <f t="shared" ca="1" si="264"/>
        <v>4.1803202328966522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IFERROR(__xludf.DUMMYFUNCTION("IMPORTRANGE(""https://docs.google.com/spreadsheets/d/1QqKyyYR6Q21VydFLVH3TRQUabQu_ym0Zz7PgGX0-kHA/edit?usp=sharing"",""แผน!HN30"")"),171750)</f>
        <v>171750</v>
      </c>
      <c r="M634" s="93">
        <v>0</v>
      </c>
      <c r="N634" s="93">
        <f>N635+N636+N637+N638</f>
        <v>7179.7</v>
      </c>
      <c r="O634" s="93">
        <f t="shared" ca="1" si="264"/>
        <v>4.1803202328966522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v>7179.7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IFERROR(__xludf.DUMMYFUNCTION("IMPORTRANGE(""https://docs.google.com/spreadsheets/d/1QqKyyYR6Q21VydFLVH3TRQUabQu_ym0Zz7PgGX0-kHA/edit?usp=sharing"",""แผน!HR30"")"),0)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IFERROR(__xludf.DUMMYFUNCTION("IMPORTRANGE(""https://docs.google.com/spreadsheets/d/1QqKyyYR6Q21VydFLVH3TRQUabQu_ym0Zz7PgGX0-kHA/edit?usp=sharing"",""แผน!HR30"")"),0)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IFERROR(__xludf.DUMMYFUNCTION("IMPORTRANGE(""https://docs.google.com/spreadsheets/d/1XWAQStnk-4SwqDmLtmXYiTMKHgktTP8We1SCoS47DrQ/edit?usp=sharing"",""จัดที่ดิน!AS30"")"),6)</f>
        <v>6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IFERROR(__xludf.DUMMYFUNCTION("IMPORTRANGE(""https://docs.google.com/spreadsheets/d/1XWAQStnk-4SwqDmLtmXYiTMKHgktTP8We1SCoS47DrQ/edit?usp=sharing"",""จัดที่ดิน!AT30"")"),4.88)</f>
        <v>4.88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IFERROR(__xludf.DUMMYFUNCTION("IMPORTRANGE(""https://docs.google.com/spreadsheets/d/1QqKyyYR6Q21VydFLVH3TRQUabQu_ym0Zz7PgGX0-kHA/edit?usp=sharing"",""แผน!HS30"")"),45)</f>
        <v>45</v>
      </c>
      <c r="J647" s="270">
        <f ca="1">IFERROR(__xludf.DUMMYFUNCTION("IMPORTRANGE(""https://docs.google.com/spreadsheets/d/1XWAQStnk-4SwqDmLtmXYiTMKHgktTP8We1SCoS47DrQ/edit?usp=sharing"",""จัดที่ดิน!AU30"")"),1)</f>
        <v>1</v>
      </c>
      <c r="K647" s="163">
        <f t="shared" ca="1" si="271"/>
        <v>2.2222222222222223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IFERROR(__xludf.DUMMYFUNCTION("IMPORTRANGE(""https://docs.google.com/spreadsheets/d/1XWAQStnk-4SwqDmLtmXYiTMKHgktTP8We1SCoS47DrQ/edit?usp=sharing"",""จัดที่ดิน!AV30"")"),0.35)</f>
        <v>0.35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IFERROR(__xludf.DUMMYFUNCTION("IMPORTRANGE(""https://docs.google.com/spreadsheets/d/1QqKyyYR6Q21VydFLVH3TRQUabQu_ym0Zz7PgGX0-kHA/edit?usp=sharing"",""แผน!HS30"")"),45)</f>
        <v>45</v>
      </c>
      <c r="J649" s="270">
        <f ca="1">IFERROR(__xludf.DUMMYFUNCTION("IMPORTRANGE(""https://docs.google.com/spreadsheets/d/1XWAQStnk-4SwqDmLtmXYiTMKHgktTP8We1SCoS47DrQ/edit?usp=sharing"",""จัดที่ดิน!AW30"")"),1)</f>
        <v>1</v>
      </c>
      <c r="K649" s="163">
        <f t="shared" ca="1" si="271"/>
        <v>2.2222222222222223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IFERROR(__xludf.DUMMYFUNCTION("IMPORTRANGE(""https://docs.google.com/spreadsheets/d/1XWAQStnk-4SwqDmLtmXYiTMKHgktTP8We1SCoS47DrQ/edit?usp=sharing"",""จัดที่ดิน!AX30"")"),0.35)</f>
        <v>0.35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IFERROR(__xludf.DUMMYFUNCTION("IMPORTRANGE(""https://docs.google.com/spreadsheets/d/1QqKyyYR6Q21VydFLVH3TRQUabQu_ym0Zz7PgGX0-kHA/edit?usp=sharing"",""แผน!HS30"")"),45)</f>
        <v>45</v>
      </c>
      <c r="J651" s="270">
        <f ca="1">IFERROR(__xludf.DUMMYFUNCTION("IMPORTRANGE(""https://docs.google.com/spreadsheets/d/1XWAQStnk-4SwqDmLtmXYiTMKHgktTP8We1SCoS47DrQ/edit?usp=sharing"",""จัดที่ดิน!AY30"")"),0)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IFERROR(__xludf.DUMMYFUNCTION("IMPORTRANGE(""https://docs.google.com/spreadsheets/d/1XWAQStnk-4SwqDmLtmXYiTMKHgktTP8We1SCoS47DrQ/edit?usp=sharing"",""จัดที่ดิน!AZ30"")"),0)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2">I669</f>
        <v>100</v>
      </c>
      <c r="J654" s="675">
        <f t="shared" si="27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12400</v>
      </c>
      <c r="M655" s="195">
        <f t="shared" si="273"/>
        <v>0</v>
      </c>
      <c r="N655" s="195">
        <f t="shared" si="273"/>
        <v>4520</v>
      </c>
      <c r="O655" s="195">
        <f t="shared" ref="O655:O660" ca="1" si="274">IF(L655&gt;0,N655*100/L655,0)</f>
        <v>36.451612903225808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6"/>
        <v>12400</v>
      </c>
      <c r="M657" s="93">
        <f t="shared" si="276"/>
        <v>0</v>
      </c>
      <c r="N657" s="93">
        <f t="shared" si="276"/>
        <v>4520</v>
      </c>
      <c r="O657" s="93">
        <f t="shared" ca="1" si="274"/>
        <v>36.451612903225808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7">L659+L660</f>
        <v>12400</v>
      </c>
      <c r="M658" s="466">
        <f t="shared" si="277"/>
        <v>0</v>
      </c>
      <c r="N658" s="466">
        <f t="shared" si="277"/>
        <v>4520</v>
      </c>
      <c r="O658" s="466">
        <f t="shared" ca="1" si="274"/>
        <v>36.451612903225808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IFERROR(__xludf.DUMMYFUNCTION("IMPORTRANGE(""https://docs.google.com/spreadsheets/d/1QqKyyYR6Q21VydFLVH3TRQUabQu_ym0Zz7PgGX0-kHA/edit?usp=sharing"",""แผน!HV30"")"),12400)</f>
        <v>12400</v>
      </c>
      <c r="M660" s="93">
        <v>0</v>
      </c>
      <c r="N660" s="93">
        <f>N661+N662+N663+N664</f>
        <v>4520</v>
      </c>
      <c r="O660" s="93">
        <f t="shared" ca="1" si="274"/>
        <v>36.451612903225808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v>4520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IFERROR(__xludf.DUMMYFUNCTION("IMPORTRANGE(""https://docs.google.com/spreadsheets/d/1QqKyyYR6Q21VydFLVH3TRQUabQu_ym0Zz7PgGX0-kHA/edit?usp=sharing"",""แผน!IA30"")"),100)</f>
        <v>100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IFERROR(__xludf.DUMMYFUNCTION("IMPORTRANGE(""https://docs.google.com/spreadsheets/d/1QqKyyYR6Q21VydFLVH3TRQUabQu_ym0Zz7PgGX0-kHA/edit?usp=sharing"",""แผน!HZ30"")"),4)</f>
        <v>4</v>
      </c>
      <c r="J670" s="215">
        <v>6</v>
      </c>
      <c r="K670" s="466">
        <f ca="1">IF(I670&gt;0,(J670*100)/I670,0)</f>
        <v>150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IFERROR(__xludf.DUMMYFUNCTION("IMPORTRANGE(""https://docs.google.com/spreadsheets/d/1QqKyyYR6Q21VydFLVH3TRQUabQu_ym0Zz7PgGX0-kHA/edit?usp=sharing"",""แผน!HZ30"")"),4)</f>
        <v>4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IFERROR(__xludf.DUMMYFUNCTION("IMPORTRANGE(""https://docs.google.com/spreadsheets/d/1QqKyyYR6Q21VydFLVH3TRQUabQu_ym0Zz7PgGX0-kHA/edit?usp=sharing"",""แผน!IB30"")"),0)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40660</v>
      </c>
      <c r="M685" s="195">
        <f t="shared" si="282"/>
        <v>0</v>
      </c>
      <c r="N685" s="195">
        <f t="shared" si="282"/>
        <v>1000</v>
      </c>
      <c r="O685" s="195">
        <f t="shared" ref="O685:O688" ca="1" si="283">IF(L685&gt;0,N685*100/L685,0)</f>
        <v>2.4594195769798328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5"/>
        <v>40660</v>
      </c>
      <c r="M687" s="93">
        <f t="shared" si="285"/>
        <v>0</v>
      </c>
      <c r="N687" s="93">
        <f t="shared" si="285"/>
        <v>1000</v>
      </c>
      <c r="O687" s="93">
        <f t="shared" ca="1" si="283"/>
        <v>2.4594195769798328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6">L689+L690</f>
        <v>40660</v>
      </c>
      <c r="M688" s="466">
        <f t="shared" si="286"/>
        <v>0</v>
      </c>
      <c r="N688" s="466">
        <f t="shared" si="286"/>
        <v>1000</v>
      </c>
      <c r="O688" s="466">
        <f t="shared" ca="1" si="283"/>
        <v>2.4594195769798328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IFERROR(__xludf.DUMMYFUNCTION("IMPORTRANGE(""https://docs.google.com/spreadsheets/d/1QqKyyYR6Q21VydFLVH3TRQUabQu_ym0Zz7PgGX0-kHA/edit?usp=sharing"",""แผน!HW30"")"),40660)</f>
        <v>40660</v>
      </c>
      <c r="M690" s="93">
        <v>0</v>
      </c>
      <c r="N690" s="93">
        <f>N691+N692+N693+N694</f>
        <v>1000</v>
      </c>
      <c r="O690" s="93">
        <f ca="1">IF(L690&gt;0,N690*100/L690,0)</f>
        <v>2.4594195769798328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1000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IFERROR(__xludf.DUMMYFUNCTION("IMPORTRANGE(""https://docs.google.com/spreadsheets/d/1QqKyyYR6Q21VydFLVH3TRQUabQu_ym0Zz7PgGX0-kHA/edit?usp=sharing"",""แผน!IC30"")"),18)</f>
        <v>18</v>
      </c>
      <c r="J699" s="270">
        <f ca="1">IFERROR(__xludf.DUMMYFUNCTION("IMPORTRANGE(""https://docs.google.com/spreadsheets/d/1XWAQStnk-4SwqDmLtmXYiTMKHgktTP8We1SCoS47DrQ/edit?usp=sharing"",""จัดที่ดิน!BB30"")"),0)</f>
        <v>0</v>
      </c>
      <c r="K699" s="466">
        <f t="shared" ref="K699:K701" ca="1" si="290">IF(I699&gt;0,J699*100/I699,0)</f>
        <v>0</v>
      </c>
      <c r="L699" s="466"/>
      <c r="M699" s="189"/>
      <c r="N699" s="733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IFERROR(__xludf.DUMMYFUNCTION("IMPORTRANGE(""https://docs.google.com/spreadsheets/d/1QqKyyYR6Q21VydFLVH3TRQUabQu_ym0Zz7PgGX0-kHA/edit?usp=sharing"",""แผน!ID30"")"),3)</f>
        <v>3</v>
      </c>
      <c r="J700" s="270">
        <f ca="1">IFERROR(__xludf.DUMMYFUNCTION("IMPORTRANGE(""https://docs.google.com/spreadsheets/d/1XWAQStnk-4SwqDmLtmXYiTMKHgktTP8We1SCoS47DrQ/edit?usp=sharing"",""จัดที่ดิน!BD30"")"),0)</f>
        <v>0</v>
      </c>
      <c r="K700" s="466">
        <f t="shared" ca="1" si="290"/>
        <v>0</v>
      </c>
      <c r="L700" s="466"/>
      <c r="M700" s="189"/>
      <c r="N700" s="733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IFERROR(__xludf.DUMMYFUNCTION("IMPORTRANGE(""https://docs.google.com/spreadsheets/d/1QqKyyYR6Q21VydFLVH3TRQUabQu_ym0Zz7PgGX0-kHA/edit?usp=sharing"",""แผน!IE30"")"),151)</f>
        <v>151</v>
      </c>
      <c r="J701" s="648">
        <f>J704+J707</f>
        <v>55.04</v>
      </c>
      <c r="K701" s="195">
        <f t="shared" ca="1" si="290"/>
        <v>36.450331125827816</v>
      </c>
      <c r="L701" s="466"/>
      <c r="M701" s="189"/>
      <c r="N701" s="733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IFERROR(__xludf.DUMMYFUNCTION("IMPORTRANGE(""https://docs.google.com/spreadsheets/d/1QqKyyYR6Q21VydFLVH3TRQUabQu_ym0Zz7PgGX0-kHA/edit?usp=sharing"",""แผน!IF30"")"),144)</f>
        <v>144</v>
      </c>
      <c r="J704" s="215">
        <v>0</v>
      </c>
      <c r="K704" s="466"/>
      <c r="L704" s="466"/>
      <c r="M704" s="189"/>
      <c r="N704" s="733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3</v>
      </c>
      <c r="K705" s="466"/>
      <c r="L705" s="466"/>
      <c r="M705" s="189"/>
      <c r="N705" s="733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3</v>
      </c>
      <c r="K706" s="466"/>
      <c r="L706" s="466"/>
      <c r="M706" s="189"/>
      <c r="N706" s="733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IFERROR(__xludf.DUMMYFUNCTION("IMPORTRANGE(""https://docs.google.com/spreadsheets/d/1QqKyyYR6Q21VydFLVH3TRQUabQu_ym0Zz7PgGX0-kHA/edit?usp=sharing"",""แผน!IG30"")"),7)</f>
        <v>7</v>
      </c>
      <c r="J707" s="215">
        <v>55.04</v>
      </c>
      <c r="K707" s="466"/>
      <c r="L707" s="466"/>
      <c r="M707" s="189"/>
      <c r="N707" s="733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IFERROR(__xludf.DUMMYFUNCTION("IMPORTRANGE(""https://docs.google.com/spreadsheets/d/1QqKyyYR6Q21VydFLVH3TRQUabQu_ym0Zz7PgGX0-kHA/edit?usp=sharing"",""แผน!IH30"")"),260)</f>
        <v>260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IFERROR(__xludf.DUMMYFUNCTION("IMPORTRANGE(""https://docs.google.com/spreadsheets/d/1XWAQStnk-4SwqDmLtmXYiTMKHgktTP8We1SCoS47DrQ/edit?usp=sharing"",""จัดที่ดิน!BF30"")"),1)</f>
        <v>1</v>
      </c>
      <c r="K718" s="466"/>
      <c r="L718" s="466"/>
      <c r="M718" s="189"/>
      <c r="N718" s="733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IFERROR(__xludf.DUMMYFUNCTION("IMPORTRANGE(""https://docs.google.com/spreadsheets/d/1XWAQStnk-4SwqDmLtmXYiTMKHgktTP8We1SCoS47DrQ/edit?usp=sharing"",""จัดที่ดิน!BG30"")"),1)</f>
        <v>1</v>
      </c>
      <c r="K719" s="466"/>
      <c r="L719" s="733"/>
      <c r="M719" s="189"/>
      <c r="N719" s="733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IFERROR(__xludf.DUMMYFUNCTION("IMPORTRANGE(""https://docs.google.com/spreadsheets/d/1QqKyyYR6Q21VydFLVH3TRQUabQu_ym0Zz7PgGX0-kHA/edit?usp=sharing"",""แผน!II30"")"),640)</f>
        <v>640</v>
      </c>
      <c r="J720" s="270">
        <f ca="1">IFERROR(__xludf.DUMMYFUNCTION("IMPORTRANGE(""https://docs.google.com/spreadsheets/d/1XWAQStnk-4SwqDmLtmXYiTMKHgktTP8We1SCoS47DrQ/edit?usp=sharing"",""จัดที่ดิน!BH30"")"),10.05)</f>
        <v>10.050000000000001</v>
      </c>
      <c r="K720" s="466">
        <f t="shared" ref="K720:K723" ca="1" si="291">IF(I720&gt;0,J720*100/I720,0)</f>
        <v>1.5703125000000002</v>
      </c>
      <c r="L720" s="733"/>
      <c r="M720" s="189"/>
      <c r="N720" s="733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IFERROR(__xludf.DUMMYFUNCTION("IMPORTRANGE(""https://docs.google.com/spreadsheets/d/1QqKyyYR6Q21VydFLVH3TRQUabQu_ym0Zz7PgGX0-kHA/edit?usp=sharing"",""แผน!IJ30"")"),9)</f>
        <v>9</v>
      </c>
      <c r="J721" s="648">
        <f ca="1">J723+J726</f>
        <v>7</v>
      </c>
      <c r="K721" s="195">
        <f t="shared" ca="1" si="291"/>
        <v>77.777777777777771</v>
      </c>
      <c r="L721" s="733"/>
      <c r="M721" s="189"/>
      <c r="N721" s="733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IFERROR(__xludf.DUMMYFUNCTION("IMPORTRANGE(""https://docs.google.com/spreadsheets/d/1QqKyyYR6Q21VydFLVH3TRQUabQu_ym0Zz7PgGX0-kHA/edit?usp=sharing"",""แผน!IK30"")"),139)</f>
        <v>139</v>
      </c>
      <c r="J722" s="648">
        <f ca="1">J725+J728</f>
        <v>147.59</v>
      </c>
      <c r="K722" s="195">
        <f t="shared" ca="1" si="291"/>
        <v>106.17985611510791</v>
      </c>
      <c r="L722" s="466"/>
      <c r="M722" s="189"/>
      <c r="N722" s="733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IFERROR(__xludf.DUMMYFUNCTION("IMPORTRANGE(""https://docs.google.com/spreadsheets/d/1QqKyyYR6Q21VydFLVH3TRQUabQu_ym0Zz7PgGX0-kHA/edit?usp=sharing"",""แผน!IL30"")"),7)</f>
        <v>7</v>
      </c>
      <c r="J723" s="270">
        <f ca="1">IFERROR(__xludf.DUMMYFUNCTION("IMPORTRANGE(""https://docs.google.com/spreadsheets/d/1XWAQStnk-4SwqDmLtmXYiTMKHgktTP8We1SCoS47DrQ/edit?usp=sharing"",""จัดที่ดิน!BM30"")"),7)</f>
        <v>7</v>
      </c>
      <c r="K723" s="466">
        <f t="shared" ca="1" si="291"/>
        <v>100</v>
      </c>
      <c r="L723" s="466"/>
      <c r="M723" s="189"/>
      <c r="N723" s="733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IFERROR(__xludf.DUMMYFUNCTION("IMPORTRANGE(""https://docs.google.com/spreadsheets/d/1XWAQStnk-4SwqDmLtmXYiTMKHgktTP8We1SCoS47DrQ/edit?usp=sharing"",""จัดที่ดิน!BN30"")"),7)</f>
        <v>7</v>
      </c>
      <c r="K724" s="466"/>
      <c r="L724" s="733"/>
      <c r="M724" s="189"/>
      <c r="N724" s="733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IFERROR(__xludf.DUMMYFUNCTION("IMPORTRANGE(""https://docs.google.com/spreadsheets/d/1QqKyyYR6Q21VydFLVH3TRQUabQu_ym0Zz7PgGX0-kHA/edit?usp=sharing"",""แผน!IM30"")"),114)</f>
        <v>114</v>
      </c>
      <c r="J725" s="270">
        <f ca="1">IFERROR(__xludf.DUMMYFUNCTION("IMPORTRANGE(""https://docs.google.com/spreadsheets/d/1XWAQStnk-4SwqDmLtmXYiTMKHgktTP8We1SCoS47DrQ/edit?usp=sharing"",""จัดที่ดิน!BO30"")"),147.59)</f>
        <v>147.59</v>
      </c>
      <c r="K725" s="466">
        <f t="shared" ref="K725:K726" ca="1" si="292">IF(I725&gt;0,J725*100/I725,0)</f>
        <v>129.46491228070175</v>
      </c>
      <c r="L725" s="733"/>
      <c r="M725" s="189"/>
      <c r="N725" s="733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IFERROR(__xludf.DUMMYFUNCTION("IMPORTRANGE(""https://docs.google.com/spreadsheets/d/1QqKyyYR6Q21VydFLVH3TRQUabQu_ym0Zz7PgGX0-kHA/edit?usp=sharing"",""แผน!IN30"")"),2)</f>
        <v>2</v>
      </c>
      <c r="J726" s="270">
        <f ca="1">IFERROR(__xludf.DUMMYFUNCTION("IMPORTRANGE(""https://docs.google.com/spreadsheets/d/1XWAQStnk-4SwqDmLtmXYiTMKHgktTP8We1SCoS47DrQ/edit?usp=sharing"",""จัดที่ดิน!BR30"")"),0)</f>
        <v>0</v>
      </c>
      <c r="K726" s="466">
        <f t="shared" ca="1" si="292"/>
        <v>0</v>
      </c>
      <c r="L726" s="466"/>
      <c r="M726" s="189"/>
      <c r="N726" s="733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IFERROR(__xludf.DUMMYFUNCTION("IMPORTRANGE(""https://docs.google.com/spreadsheets/d/1XWAQStnk-4SwqDmLtmXYiTMKHgktTP8We1SCoS47DrQ/edit?usp=sharing"",""จัดที่ดิน!BS30"")"),0)</f>
        <v>0</v>
      </c>
      <c r="K727" s="466"/>
      <c r="L727" s="733"/>
      <c r="M727" s="189"/>
      <c r="N727" s="733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IFERROR(__xludf.DUMMYFUNCTION("IMPORTRANGE(""https://docs.google.com/spreadsheets/d/1QqKyyYR6Q21VydFLVH3TRQUabQu_ym0Zz7PgGX0-kHA/edit?usp=sharing"",""แผน!IO30"")"),25)</f>
        <v>25</v>
      </c>
      <c r="J728" s="270">
        <f ca="1">IFERROR(__xludf.DUMMYFUNCTION("IMPORTRANGE(""https://docs.google.com/spreadsheets/d/1XWAQStnk-4SwqDmLtmXYiTMKHgktTP8We1SCoS47DrQ/edit?usp=sharing"",""จัดที่ดิน!BT30"")"),0)</f>
        <v>0</v>
      </c>
      <c r="K728" s="466">
        <f t="shared" ref="K728:K729" ca="1" si="293">IF(I728&gt;0,J728*100/I728,0)</f>
        <v>0</v>
      </c>
      <c r="L728" s="733"/>
      <c r="M728" s="189"/>
      <c r="N728" s="733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IFERROR(__xludf.DUMMYFUNCTION("IMPORTRANGE(""https://docs.google.com/spreadsheets/d/1QqKyyYR6Q21VydFLVH3TRQUabQu_ym0Zz7PgGX0-kHA/edit?usp=sharing"",""แผน!IP30"")"),65)</f>
        <v>65</v>
      </c>
      <c r="J729" s="648">
        <f>J732+J735</f>
        <v>151.72</v>
      </c>
      <c r="K729" s="195">
        <f t="shared" ca="1" si="293"/>
        <v>233.41538461538462</v>
      </c>
      <c r="L729" s="466"/>
      <c r="M729" s="189"/>
      <c r="N729" s="733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5</v>
      </c>
      <c r="K730" s="466"/>
      <c r="L730" s="733"/>
      <c r="M730" s="466"/>
      <c r="N730" s="733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5</v>
      </c>
      <c r="K731" s="466"/>
      <c r="L731" s="733"/>
      <c r="M731" s="466"/>
      <c r="N731" s="733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94.48</v>
      </c>
      <c r="K732" s="466"/>
      <c r="L732" s="733"/>
      <c r="M732" s="466"/>
      <c r="N732" s="733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3</v>
      </c>
      <c r="K733" s="466"/>
      <c r="L733" s="733"/>
      <c r="M733" s="466"/>
      <c r="N733" s="733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3</v>
      </c>
      <c r="K734" s="466"/>
      <c r="L734" s="733"/>
      <c r="M734" s="466"/>
      <c r="N734" s="733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57.24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4">L738+L739</f>
        <v>0</v>
      </c>
      <c r="M737" s="614">
        <f t="shared" si="294"/>
        <v>0</v>
      </c>
      <c r="N737" s="614">
        <f t="shared" si="294"/>
        <v>0</v>
      </c>
      <c r="O737" s="614">
        <f t="shared" ref="O737:O742" si="295">IF(L737&gt;0,N737*100/L737,0)</f>
        <v>0</v>
      </c>
      <c r="P737" s="614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6"/>
      <c r="D740" s="805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8">L741+L742</f>
        <v>0</v>
      </c>
      <c r="M740" s="614">
        <f t="shared" si="298"/>
        <v>0</v>
      </c>
      <c r="N740" s="614">
        <f t="shared" si="298"/>
        <v>0</v>
      </c>
      <c r="O740" s="614">
        <f t="shared" si="295"/>
        <v>0</v>
      </c>
      <c r="P740" s="614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6"/>
      <c r="D747" s="805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299">L748+L749</f>
        <v>0</v>
      </c>
      <c r="M747" s="614">
        <f t="shared" si="299"/>
        <v>0</v>
      </c>
      <c r="N747" s="614">
        <f t="shared" si="299"/>
        <v>0</v>
      </c>
      <c r="O747" s="614">
        <f t="shared" ref="O747:O749" si="300">IF(L747&gt;0,N747*100/L747,0)</f>
        <v>0</v>
      </c>
      <c r="P747" s="614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2">L755+L756</f>
        <v>0</v>
      </c>
      <c r="M754" s="614">
        <f t="shared" si="302"/>
        <v>0</v>
      </c>
      <c r="N754" s="614">
        <f t="shared" si="302"/>
        <v>0</v>
      </c>
      <c r="O754" s="614">
        <f t="shared" ref="O754:O759" si="303">IF(L754&gt;0,N754*100/L754,0)</f>
        <v>0</v>
      </c>
      <c r="P754" s="614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6"/>
      <c r="D757" s="805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6">L758+L759</f>
        <v>0</v>
      </c>
      <c r="M757" s="614">
        <f t="shared" si="306"/>
        <v>0</v>
      </c>
      <c r="N757" s="614">
        <f t="shared" si="306"/>
        <v>0</v>
      </c>
      <c r="O757" s="614">
        <f t="shared" si="303"/>
        <v>0</v>
      </c>
      <c r="P757" s="614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6"/>
      <c r="D764" s="805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7">L765+L766</f>
        <v>0</v>
      </c>
      <c r="M764" s="614">
        <f t="shared" si="307"/>
        <v>0</v>
      </c>
      <c r="N764" s="614">
        <f t="shared" si="307"/>
        <v>0</v>
      </c>
      <c r="O764" s="614">
        <f t="shared" ref="O764:O766" si="308">IF(L764&gt;0,N764*100/L764,0)</f>
        <v>0</v>
      </c>
      <c r="P764" s="614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0">L771+L772</f>
        <v>0</v>
      </c>
      <c r="M770" s="614">
        <f t="shared" si="310"/>
        <v>0</v>
      </c>
      <c r="N770" s="614">
        <f t="shared" si="310"/>
        <v>0</v>
      </c>
      <c r="O770" s="614">
        <f t="shared" ref="O770:O775" si="311">IF(L770&gt;0,N770*100/L770,0)</f>
        <v>0</v>
      </c>
      <c r="P770" s="614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6"/>
      <c r="D773" s="805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4">L774+L775</f>
        <v>0</v>
      </c>
      <c r="M773" s="614">
        <f t="shared" si="314"/>
        <v>0</v>
      </c>
      <c r="N773" s="614">
        <f t="shared" si="314"/>
        <v>0</v>
      </c>
      <c r="O773" s="614">
        <f t="shared" si="311"/>
        <v>0</v>
      </c>
      <c r="P773" s="614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6"/>
      <c r="D780" s="805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5">L781+L782</f>
        <v>0</v>
      </c>
      <c r="M780" s="614">
        <f t="shared" si="315"/>
        <v>0</v>
      </c>
      <c r="N780" s="614">
        <f t="shared" si="315"/>
        <v>0</v>
      </c>
      <c r="O780" s="614">
        <f t="shared" ref="O780:O782" si="316">IF(L780&gt;0,N780*100/L780,0)</f>
        <v>0</v>
      </c>
      <c r="P780" s="614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 hidden="1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773" t="s">
        <v>46</v>
      </c>
      <c r="I785" s="863">
        <f t="shared" ref="I785:J785" ca="1" si="318">I800</f>
        <v>0</v>
      </c>
      <c r="J785" s="774">
        <f t="shared" ca="1" si="318"/>
        <v>0</v>
      </c>
      <c r="K785" s="775">
        <f ca="1">IF(I785&gt;0,J785*100/I785,0)</f>
        <v>0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 hidden="1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563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6"/>
      <c r="D787" s="687"/>
      <c r="E787" s="726" t="s">
        <v>184</v>
      </c>
      <c r="F787" s="726"/>
      <c r="G787" s="568"/>
      <c r="H787" s="165" t="s">
        <v>12</v>
      </c>
      <c r="I787" s="584"/>
      <c r="J787" s="584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6" t="s">
        <v>185</v>
      </c>
      <c r="F788" s="726"/>
      <c r="G788" s="568"/>
      <c r="H788" s="165" t="s">
        <v>12</v>
      </c>
      <c r="I788" s="584"/>
      <c r="J788" s="584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 hidden="1">
      <c r="A789" s="562"/>
      <c r="B789" s="539"/>
      <c r="C789" s="539"/>
      <c r="D789" s="571" t="s">
        <v>20</v>
      </c>
      <c r="E789" s="730"/>
      <c r="F789" s="730"/>
      <c r="G789" s="189"/>
      <c r="H789" s="779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6" t="s">
        <v>184</v>
      </c>
      <c r="F790" s="726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6" t="s">
        <v>185</v>
      </c>
      <c r="F791" s="726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IFERROR(__xludf.DUMMYFUNCTION("IMPORTRANGE(""https://docs.google.com/spreadsheets/d/1QqKyyYR6Q21VydFLVH3TRQUabQu_ym0Zz7PgGX0-kHA/edit?usp=sharing"",""แผน!JJ30"")"),0)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 hidden="1">
      <c r="A792" s="538"/>
      <c r="B792" s="539"/>
      <c r="C792" s="730"/>
      <c r="D792" s="730"/>
      <c r="E792" s="730"/>
      <c r="F792" s="730" t="s">
        <v>186</v>
      </c>
      <c r="G792" s="189"/>
      <c r="H792" s="779" t="s">
        <v>12</v>
      </c>
      <c r="I792" s="270"/>
      <c r="J792" s="270"/>
      <c r="K792" s="466"/>
      <c r="L792" s="466"/>
      <c r="M792" s="466"/>
      <c r="N792" s="801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 hidden="1">
      <c r="A793" s="538"/>
      <c r="B793" s="539"/>
      <c r="C793" s="730"/>
      <c r="D793" s="730"/>
      <c r="E793" s="730"/>
      <c r="F793" s="730" t="s">
        <v>187</v>
      </c>
      <c r="G793" s="189"/>
      <c r="H793" s="779" t="s">
        <v>12</v>
      </c>
      <c r="I793" s="270"/>
      <c r="J793" s="270"/>
      <c r="K793" s="466"/>
      <c r="L793" s="466"/>
      <c r="M793" s="466"/>
      <c r="N793" s="801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 hidden="1">
      <c r="A794" s="538"/>
      <c r="B794" s="539"/>
      <c r="C794" s="730"/>
      <c r="D794" s="730"/>
      <c r="E794" s="730"/>
      <c r="F794" s="730" t="s">
        <v>188</v>
      </c>
      <c r="G794" s="189"/>
      <c r="H794" s="779" t="s">
        <v>12</v>
      </c>
      <c r="I794" s="270"/>
      <c r="J794" s="270"/>
      <c r="K794" s="466"/>
      <c r="L794" s="466"/>
      <c r="M794" s="466"/>
      <c r="N794" s="801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 hidden="1">
      <c r="A795" s="538"/>
      <c r="B795" s="539"/>
      <c r="C795" s="730"/>
      <c r="D795" s="730"/>
      <c r="E795" s="730"/>
      <c r="F795" s="730" t="s">
        <v>189</v>
      </c>
      <c r="G795" s="189"/>
      <c r="H795" s="779" t="s">
        <v>12</v>
      </c>
      <c r="I795" s="270"/>
      <c r="J795" s="270"/>
      <c r="K795" s="466"/>
      <c r="L795" s="466"/>
      <c r="M795" s="466"/>
      <c r="N795" s="801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 hidden="1">
      <c r="A796" s="562"/>
      <c r="B796" s="539"/>
      <c r="C796" s="730"/>
      <c r="D796" s="571" t="s">
        <v>21</v>
      </c>
      <c r="E796" s="730"/>
      <c r="F796" s="730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6"/>
      <c r="D797" s="726"/>
      <c r="E797" s="726" t="s">
        <v>18</v>
      </c>
      <c r="F797" s="726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6"/>
      <c r="D798" s="726"/>
      <c r="E798" s="726" t="s">
        <v>19</v>
      </c>
      <c r="F798" s="726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 hidden="1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777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 hidden="1">
      <c r="A800" s="573"/>
      <c r="B800" s="585"/>
      <c r="C800" s="585"/>
      <c r="D800" s="585"/>
      <c r="E800" s="593"/>
      <c r="F800" s="593" t="s">
        <v>320</v>
      </c>
      <c r="G800" s="729"/>
      <c r="H800" s="778" t="s">
        <v>46</v>
      </c>
      <c r="I800" s="184">
        <f ca="1">IFERROR(__xludf.DUMMYFUNCTION("IMPORTRANGE(""https://docs.google.com/spreadsheets/d/1QqKyyYR6Q21VydFLVH3TRQUabQu_ym0Zz7PgGX0-kHA/edit?usp=sharing"",""แผน!JN30"")"),0)</f>
        <v>0</v>
      </c>
      <c r="J800" s="184">
        <f ca="1">IFERROR(__xludf.DUMMYFUNCTION("IMPORTRANGE(""https://docs.google.com/spreadsheets/d/1MaWodYyGHDf7siQLGxnXhG4mBNTNIuy296niS2xXulU/edit?usp=sharing"",""RTK!H30"")"),0)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 hidden="1">
      <c r="A801" s="573"/>
      <c r="B801" s="585"/>
      <c r="C801" s="585"/>
      <c r="D801" s="585"/>
      <c r="E801" s="593"/>
      <c r="F801" s="593"/>
      <c r="G801" s="729"/>
      <c r="H801" s="779" t="s">
        <v>34</v>
      </c>
      <c r="I801" s="184"/>
      <c r="J801" s="270">
        <f ca="1">IFERROR(__xludf.DUMMYFUNCTION("IMPORTRANGE(""https://docs.google.com/spreadsheets/d/1MaWodYyGHDf7siQLGxnXhG4mBNTNIuy296niS2xXulU/edit?usp=sharing"",""RTK!I30"")"),0)</f>
        <v>0</v>
      </c>
      <c r="K801" s="466"/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 hidden="1">
      <c r="A802" s="579"/>
      <c r="B802" s="581"/>
      <c r="C802" s="581"/>
      <c r="D802" s="581"/>
      <c r="E802" s="687"/>
      <c r="F802" s="687" t="s">
        <v>321</v>
      </c>
      <c r="G802" s="582"/>
      <c r="H802" s="620" t="s">
        <v>46</v>
      </c>
      <c r="I802" s="166"/>
      <c r="J802" s="584"/>
      <c r="K802" s="167">
        <f>IF(I802&gt;0,J802*100/I802,0)</f>
        <v>0</v>
      </c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 hidden="1">
      <c r="A803" s="579"/>
      <c r="B803" s="581"/>
      <c r="C803" s="581"/>
      <c r="D803" s="581"/>
      <c r="E803" s="687"/>
      <c r="F803" s="687"/>
      <c r="G803" s="582"/>
      <c r="H803" s="620" t="s">
        <v>34</v>
      </c>
      <c r="I803" s="166"/>
      <c r="J803" s="584"/>
      <c r="K803" s="167"/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>IF(I804&gt;0,J804*100/I804,0)</f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7">L806+L807</f>
        <v>0</v>
      </c>
      <c r="M805" s="614">
        <f t="shared" si="327"/>
        <v>0</v>
      </c>
      <c r="N805" s="614">
        <f t="shared" si="327"/>
        <v>0</v>
      </c>
      <c r="O805" s="614">
        <f t="shared" ref="O805:O810" si="328">IF(L805&gt;0,N805*100/L805,0)</f>
        <v>0</v>
      </c>
      <c r="P805" s="614">
        <f t="shared" ref="P805:P810" si="329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1">L809+L810</f>
        <v>0</v>
      </c>
      <c r="M808" s="614">
        <f t="shared" si="331"/>
        <v>0</v>
      </c>
      <c r="N808" s="614">
        <f t="shared" si="331"/>
        <v>0</v>
      </c>
      <c r="O808" s="614">
        <f t="shared" si="328"/>
        <v>0</v>
      </c>
      <c r="P808" s="614">
        <f t="shared" si="329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2">L816+L817</f>
        <v>0</v>
      </c>
      <c r="M815" s="614">
        <f t="shared" si="332"/>
        <v>0</v>
      </c>
      <c r="N815" s="614">
        <f t="shared" si="332"/>
        <v>0</v>
      </c>
      <c r="O815" s="614">
        <f t="shared" ref="O815:O817" si="333">IF(L815&gt;0,N815*100/L815,0)</f>
        <v>0</v>
      </c>
      <c r="P815" s="614">
        <f t="shared" ref="P815:P817" si="334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55" t="s">
        <v>332</v>
      </c>
      <c r="B820" s="856"/>
      <c r="C820" s="856"/>
      <c r="D820" s="857"/>
      <c r="E820" s="856"/>
      <c r="F820" s="856"/>
      <c r="G820" s="858"/>
      <c r="H820" s="8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60"/>
      <c r="J820" s="860"/>
      <c r="K820" s="861"/>
      <c r="L820" s="861"/>
      <c r="M820" s="861"/>
      <c r="N820" s="861"/>
      <c r="O820" s="861"/>
      <c r="P820" s="86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IFERROR(__xludf.DUMMYFUNCTION("IMPORTRANGE(""https://docs.google.com/spreadsheets/d/19vJNZY_5yjcGF2XGBMNZRCAIB0Kwfpjp8YEOfu-bneM/edit?usp=sharing"",""งานกองทุน!D30"")"),2322577)</f>
        <v>2322577</v>
      </c>
      <c r="J821" s="270">
        <f ca="1">IFERROR(__xludf.DUMMYFUNCTION("IMPORTRANGE(""https://docs.google.com/spreadsheets/d/19vJNZY_5yjcGF2XGBMNZRCAIB0Kwfpjp8YEOfu-bneM/edit?usp=sharing"",""งานกองทุน!F30"")"),1623607.78)</f>
        <v>1623607.78</v>
      </c>
      <c r="K821" s="466">
        <f t="shared" ref="K821:K828" ca="1" si="335">IF(I821&gt;0,J821*100/I821,0)</f>
        <v>69.905444684934025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IFERROR(__xludf.DUMMYFUNCTION("IMPORTRANGE(""https://docs.google.com/spreadsheets/d/19vJNZY_5yjcGF2XGBMNZRCAIB0Kwfpjp8YEOfu-bneM/edit?usp=sharing"",""งานกองทุน!C30"")"),120)</f>
        <v>120</v>
      </c>
      <c r="J822" s="270">
        <f ca="1">IFERROR(__xludf.DUMMYFUNCTION("IMPORTRANGE(""https://docs.google.com/spreadsheets/d/19vJNZY_5yjcGF2XGBMNZRCAIB0Kwfpjp8YEOfu-bneM/edit?usp=sharing"",""งานกองทุน!E30"")"),125)</f>
        <v>125</v>
      </c>
      <c r="K822" s="466">
        <f t="shared" ca="1" si="335"/>
        <v>104.16666666666667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IFERROR(__xludf.DUMMYFUNCTION("IMPORTRANGE(""https://docs.google.com/spreadsheets/d/19vJNZY_5yjcGF2XGBMNZRCAIB0Kwfpjp8YEOfu-bneM/edit?usp=sharing"",""งานกองทุน!I30"")"),10059951.46)</f>
        <v>10059951.460000001</v>
      </c>
      <c r="J823" s="270">
        <f ca="1">IFERROR(__xludf.DUMMYFUNCTION("IMPORTRANGE(""https://docs.google.com/spreadsheets/d/19vJNZY_5yjcGF2XGBMNZRCAIB0Kwfpjp8YEOfu-bneM/edit?usp=sharing"",""งานกองทุน!K30"")"),991484.32)</f>
        <v>991484.32</v>
      </c>
      <c r="K823" s="466">
        <f t="shared" ca="1" si="335"/>
        <v>9.8557565008370318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IFERROR(__xludf.DUMMYFUNCTION("IMPORTRANGE(""https://docs.google.com/spreadsheets/d/19vJNZY_5yjcGF2XGBMNZRCAIB0Kwfpjp8YEOfu-bneM/edit?usp=sharing"",""งานกองทุน!H30"")"),585)</f>
        <v>585</v>
      </c>
      <c r="J824" s="270">
        <f ca="1">IFERROR(__xludf.DUMMYFUNCTION("IMPORTRANGE(""https://docs.google.com/spreadsheets/d/19vJNZY_5yjcGF2XGBMNZRCAIB0Kwfpjp8YEOfu-bneM/edit?usp=sharing"",""งานกองทุน!J30"")"),150)</f>
        <v>150</v>
      </c>
      <c r="K824" s="466">
        <f t="shared" ca="1" si="335"/>
        <v>25.641025641025642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IFERROR(__xludf.DUMMYFUNCTION("IMPORTRANGE(""https://docs.google.com/spreadsheets/d/19vJNZY_5yjcGF2XGBMNZRCAIB0Kwfpjp8YEOfu-bneM/edit?usp=sharing"",""งานกองทุน!N30"")"),2927271.16)</f>
        <v>2927271.16</v>
      </c>
      <c r="J825" s="270">
        <f ca="1">IFERROR(__xludf.DUMMYFUNCTION("IMPORTRANGE(""https://docs.google.com/spreadsheets/d/19vJNZY_5yjcGF2XGBMNZRCAIB0Kwfpjp8YEOfu-bneM/edit?usp=sharing"",""งานกองทุน!P30"")"),960081.82)</f>
        <v>960081.82</v>
      </c>
      <c r="K825" s="466">
        <f t="shared" ca="1" si="335"/>
        <v>32.797843709156069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IFERROR(__xludf.DUMMYFUNCTION("IMPORTRANGE(""https://docs.google.com/spreadsheets/d/19vJNZY_5yjcGF2XGBMNZRCAIB0Kwfpjp8YEOfu-bneM/edit?usp=sharing"",""งานกองทุน!M30"")"),217)</f>
        <v>217</v>
      </c>
      <c r="J826" s="270">
        <f ca="1">IFERROR(__xludf.DUMMYFUNCTION("IMPORTRANGE(""https://docs.google.com/spreadsheets/d/19vJNZY_5yjcGF2XGBMNZRCAIB0Kwfpjp8YEOfu-bneM/edit?usp=sharing"",""งานกองทุน!O30"")"),91)</f>
        <v>91</v>
      </c>
      <c r="K826" s="466">
        <f t="shared" ca="1" si="335"/>
        <v>41.935483870967744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IFERROR(__xludf.DUMMYFUNCTION("IMPORTRANGE(""https://docs.google.com/spreadsheets/d/19vJNZY_5yjcGF2XGBMNZRCAIB0Kwfpjp8YEOfu-bneM/edit?usp=sharing"",""งานกองทุน!S30"")"),3480000)</f>
        <v>3480000</v>
      </c>
      <c r="J827" s="270">
        <f ca="1">IFERROR(__xludf.DUMMYFUNCTION("IMPORTRANGE(""https://docs.google.com/spreadsheets/d/19vJNZY_5yjcGF2XGBMNZRCAIB0Kwfpjp8YEOfu-bneM/edit?usp=sharing"",""งานกองทุน!U30"")"),0)</f>
        <v>0</v>
      </c>
      <c r="K827" s="466">
        <f t="shared" ca="1" si="335"/>
        <v>0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IFERROR(__xludf.DUMMYFUNCTION("IMPORTRANGE(""https://docs.google.com/spreadsheets/d/19vJNZY_5yjcGF2XGBMNZRCAIB0Kwfpjp8YEOfu-bneM/edit?usp=sharing"",""งานกองทุน!R30"")"),139)</f>
        <v>139</v>
      </c>
      <c r="J828" s="469">
        <f ca="1">IFERROR(__xludf.DUMMYFUNCTION("IMPORTRANGE(""https://docs.google.com/spreadsheets/d/19vJNZY_5yjcGF2XGBMNZRCAIB0Kwfpjp8YEOfu-bneM/edit?usp=sharing"",""งานกองทุน!T30"")"),0)</f>
        <v>0</v>
      </c>
      <c r="K828" s="470">
        <f t="shared" ca="1" si="335"/>
        <v>0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DED0B-ED94-4988-B2B9-D0105C4082C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3" width="20.28515625" bestFit="1" customWidth="1"/>
    <col min="14" max="14" width="21.28515625" bestFit="1" customWidth="1"/>
    <col min="15" max="16" width="17.5703125" customWidth="1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329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7046668</v>
      </c>
      <c r="M8" s="22">
        <f t="shared" ca="1" si="0"/>
        <v>3063027</v>
      </c>
      <c r="N8" s="22">
        <f t="shared" ca="1" si="0"/>
        <v>2360758.46</v>
      </c>
      <c r="O8" s="22">
        <f t="shared" ref="O8:O16" ca="1" si="1">IF(L8&gt;0,N8*100/L8,0)</f>
        <v>33.501769346874298</v>
      </c>
      <c r="P8" s="22">
        <f t="shared" ref="P8:P16" ca="1" si="2">IF(M8&gt;0,N8*100/M8,0)</f>
        <v>77.072727729791481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7046668</v>
      </c>
      <c r="M10" s="30">
        <f t="shared" ca="1" si="3"/>
        <v>3063027</v>
      </c>
      <c r="N10" s="30">
        <f t="shared" ca="1" si="3"/>
        <v>2360758.46</v>
      </c>
      <c r="O10" s="30">
        <f t="shared" ca="1" si="1"/>
        <v>33.501769346874298</v>
      </c>
      <c r="P10" s="30">
        <f t="shared" ca="1" si="2"/>
        <v>77.072727729791481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6986668</v>
      </c>
      <c r="M11" s="466">
        <f t="shared" ca="1" si="4"/>
        <v>3003427</v>
      </c>
      <c r="N11" s="466">
        <f t="shared" ca="1" si="4"/>
        <v>2301158.46</v>
      </c>
      <c r="O11" s="466">
        <f t="shared" ca="1" si="1"/>
        <v>32.936422054117926</v>
      </c>
      <c r="P11" s="466">
        <f t="shared" ca="1" si="2"/>
        <v>76.617758979991862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6986668</v>
      </c>
      <c r="M13" s="93">
        <f t="shared" ca="1" si="5"/>
        <v>3003427</v>
      </c>
      <c r="N13" s="93">
        <f t="shared" ca="1" si="5"/>
        <v>2301158.46</v>
      </c>
      <c r="O13" s="93">
        <f t="shared" ca="1" si="1"/>
        <v>32.936422054117926</v>
      </c>
      <c r="P13" s="93">
        <f t="shared" ca="1" si="2"/>
        <v>76.617758979991862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60000</v>
      </c>
      <c r="M14" s="466">
        <f t="shared" ca="1" si="6"/>
        <v>59600</v>
      </c>
      <c r="N14" s="466">
        <f t="shared" ca="1" si="6"/>
        <v>59600</v>
      </c>
      <c r="O14" s="466">
        <f t="shared" ca="1" si="1"/>
        <v>99.333333333333329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59600</v>
      </c>
      <c r="N16" s="52">
        <f t="shared" ca="1" si="7"/>
        <v>59600</v>
      </c>
      <c r="O16" s="52">
        <f t="shared" ca="1" si="1"/>
        <v>99.333333333333329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4053029</v>
      </c>
      <c r="M18" s="22">
        <f t="shared" ca="1" si="8"/>
        <v>3063027</v>
      </c>
      <c r="N18" s="22">
        <f t="shared" ca="1" si="8"/>
        <v>1388130.58</v>
      </c>
      <c r="O18" s="22">
        <f t="shared" ref="O18:O26" ca="1" si="9">IF(L18&gt;0,N18*100/L18,0)</f>
        <v>34.249214106289394</v>
      </c>
      <c r="P18" s="22">
        <f t="shared" ref="P18:P26" ca="1" si="10">IF(M18&gt;0,N18*100/M18,0)</f>
        <v>45.318914263569994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4053029</v>
      </c>
      <c r="M20" s="30">
        <f t="shared" ca="1" si="11"/>
        <v>3063027</v>
      </c>
      <c r="N20" s="30">
        <f t="shared" ca="1" si="11"/>
        <v>1388130.58</v>
      </c>
      <c r="O20" s="30">
        <f t="shared" ca="1" si="9"/>
        <v>34.249214106289394</v>
      </c>
      <c r="P20" s="30">
        <f t="shared" ca="1" si="10"/>
        <v>45.318914263569994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3993029</v>
      </c>
      <c r="M21" s="466">
        <f t="shared" ca="1" si="12"/>
        <v>3003427</v>
      </c>
      <c r="N21" s="466">
        <f t="shared" ca="1" si="12"/>
        <v>1328530.58</v>
      </c>
      <c r="O21" s="466">
        <f t="shared" ca="1" si="9"/>
        <v>33.271247967395176</v>
      </c>
      <c r="P21" s="466">
        <f t="shared" ca="1" si="10"/>
        <v>44.233822896311445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3993029</v>
      </c>
      <c r="M23" s="93">
        <f t="shared" ca="1" si="13"/>
        <v>3003427</v>
      </c>
      <c r="N23" s="93">
        <f t="shared" ca="1" si="13"/>
        <v>1328530.58</v>
      </c>
      <c r="O23" s="93">
        <f t="shared" ca="1" si="9"/>
        <v>33.271247967395176</v>
      </c>
      <c r="P23" s="93">
        <f t="shared" ca="1" si="10"/>
        <v>44.233822896311445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60000</v>
      </c>
      <c r="M24" s="466">
        <f t="shared" ca="1" si="14"/>
        <v>59600</v>
      </c>
      <c r="N24" s="466">
        <f t="shared" ca="1" si="14"/>
        <v>59600</v>
      </c>
      <c r="O24" s="466">
        <f t="shared" ca="1" si="9"/>
        <v>99.333333333333329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59600</v>
      </c>
      <c r="N26" s="52">
        <f t="shared" ca="1" si="15"/>
        <v>59600</v>
      </c>
      <c r="O26" s="52">
        <f t="shared" ca="1" si="9"/>
        <v>99.333333333333329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2993639</v>
      </c>
      <c r="M28" s="22">
        <f t="shared" si="16"/>
        <v>0</v>
      </c>
      <c r="N28" s="22">
        <f t="shared" si="16"/>
        <v>972627.88</v>
      </c>
      <c r="O28" s="22">
        <f t="shared" ref="O28:O37" ca="1" si="17">IF(L28&gt;0,N28*100/L28,0)</f>
        <v>32.489818578659616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2993639</v>
      </c>
      <c r="M30" s="30">
        <f t="shared" si="19"/>
        <v>0</v>
      </c>
      <c r="N30" s="30">
        <f t="shared" si="19"/>
        <v>972627.88</v>
      </c>
      <c r="O30" s="30">
        <f t="shared" ca="1" si="17"/>
        <v>32.489818578659616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2993639</v>
      </c>
      <c r="M31" s="466">
        <f t="shared" si="20"/>
        <v>0</v>
      </c>
      <c r="N31" s="466">
        <f t="shared" si="20"/>
        <v>972627.88</v>
      </c>
      <c r="O31" s="466">
        <f t="shared" ca="1" si="17"/>
        <v>32.489818578659616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2993639</v>
      </c>
      <c r="M33" s="93">
        <f t="shared" si="21"/>
        <v>0</v>
      </c>
      <c r="N33" s="93">
        <f t="shared" si="21"/>
        <v>972627.88</v>
      </c>
      <c r="O33" s="93">
        <f t="shared" ca="1" si="17"/>
        <v>32.489818578659616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4053029</v>
      </c>
      <c r="M37" s="812">
        <f t="shared" ca="1" si="24"/>
        <v>3063027</v>
      </c>
      <c r="N37" s="812">
        <f t="shared" ca="1" si="24"/>
        <v>1388130.58</v>
      </c>
      <c r="O37" s="812">
        <f t="shared" ca="1" si="17"/>
        <v>34.249214106289394</v>
      </c>
      <c r="P37" s="812">
        <f t="shared" ca="1" si="18"/>
        <v>45.318914263569994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472819</v>
      </c>
      <c r="M41" s="85">
        <f t="shared" ca="1" si="25"/>
        <v>480617</v>
      </c>
      <c r="N41" s="85">
        <f t="shared" ca="1" si="25"/>
        <v>213957</v>
      </c>
      <c r="O41" s="85">
        <f t="shared" ref="O41:O49" ca="1" si="26">IF(L41&gt;0,N41*100/L41,0)</f>
        <v>45.251354112250141</v>
      </c>
      <c r="P41" s="85">
        <f t="shared" ref="P41:P49" ca="1" si="27">IF(M41&gt;0,N41*100/M41,0)</f>
        <v>44.517151910981092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472819</v>
      </c>
      <c r="M43" s="92">
        <f t="shared" ca="1" si="28"/>
        <v>480617</v>
      </c>
      <c r="N43" s="92">
        <f t="shared" ca="1" si="28"/>
        <v>213957</v>
      </c>
      <c r="O43" s="92">
        <f t="shared" ca="1" si="26"/>
        <v>45.251354112250141</v>
      </c>
      <c r="P43" s="92">
        <f t="shared" ca="1" si="27"/>
        <v>44.517151910981092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472819</v>
      </c>
      <c r="M44" s="466">
        <f t="shared" ca="1" si="29"/>
        <v>480617</v>
      </c>
      <c r="N44" s="466">
        <f t="shared" ca="1" si="29"/>
        <v>213957</v>
      </c>
      <c r="O44" s="466">
        <f t="shared" ca="1" si="26"/>
        <v>45.251354112250141</v>
      </c>
      <c r="P44" s="466">
        <f t="shared" ca="1" si="27"/>
        <v>44.517151910981092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IFERROR(__xludf.DUMMYFUNCTION("IMPORTRANGE(""https://docs.google.com/spreadsheets/d/1MeEWN-I1oV_STSDYn1IFDPWt_1FKiwhDph83XaGc0o0/edit?usp=sharing"",""งบพรบ!M14"")"),472819)</f>
        <v>472819</v>
      </c>
      <c r="M46" s="93">
        <f ca="1">IFERROR(__xludf.DUMMYFUNCTION("IMPORTRANGE(""https://docs.google.com/spreadsheets/d/1MeEWN-I1oV_STSDYn1IFDPWt_1FKiwhDph83XaGc0o0/edit?usp=sharing"",""งบพรบ!R14"")"),480617)</f>
        <v>480617</v>
      </c>
      <c r="N46" s="93">
        <f ca="1">IFERROR(__xludf.DUMMYFUNCTION("IMPORTRANGE(""https://docs.google.com/spreadsheets/d/1MeEWN-I1oV_STSDYn1IFDPWt_1FKiwhDph83XaGc0o0/edit?usp=sharing"",""งบพรบ!T14"")"),213957)</f>
        <v>213957</v>
      </c>
      <c r="O46" s="93">
        <f t="shared" ca="1" si="26"/>
        <v>45.251354112250141</v>
      </c>
      <c r="P46" s="93">
        <f t="shared" ca="1" si="27"/>
        <v>44.517151910981092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IFERROR(__xludf.DUMMYFUNCTION("IMPORTRANGE(""https://docs.google.com/spreadsheets/d/1MeEWN-I1oV_STSDYn1IFDPWt_1FKiwhDph83XaGc0o0/edit?usp=sharing"",""งบพรบ!P14"")"),0)</f>
        <v>0</v>
      </c>
      <c r="M49" s="52">
        <f ca="1">IFERROR(__xludf.DUMMYFUNCTION("IMPORTRANGE(""https://docs.google.com/spreadsheets/d/1MeEWN-I1oV_STSDYn1IFDPWt_1FKiwhDph83XaGc0o0/edit?usp=sharing"",""งบพรบ!S14"")"),0)</f>
        <v>0</v>
      </c>
      <c r="N49" s="52">
        <f ca="1">IFERROR(__xludf.DUMMYFUNCTION("IMPORTRANGE(""https://docs.google.com/spreadsheets/d/1MeEWN-I1oV_STSDYn1IFDPWt_1FKiwhDph83XaGc0o0/edit?usp=sharing"",""งบพรบ!U14"")"),0)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842200</v>
      </c>
      <c r="M53" s="116">
        <f t="shared" ca="1" si="31"/>
        <v>631650</v>
      </c>
      <c r="N53" s="116">
        <f t="shared" ca="1" si="31"/>
        <v>330234.58</v>
      </c>
      <c r="O53" s="116">
        <f t="shared" ref="O53:O61" ca="1" si="32">IF(L53&gt;0,N53*100/L53,0)</f>
        <v>39.210945143671339</v>
      </c>
      <c r="P53" s="116">
        <f t="shared" ref="P53:P61" ca="1" si="33">IF(M53&gt;0,N53*100/M53,0)</f>
        <v>52.281260191561785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842200</v>
      </c>
      <c r="M55" s="123">
        <f t="shared" ca="1" si="34"/>
        <v>631650</v>
      </c>
      <c r="N55" s="123">
        <f t="shared" ca="1" si="34"/>
        <v>330234.58</v>
      </c>
      <c r="O55" s="123">
        <f t="shared" ca="1" si="32"/>
        <v>39.210945143671339</v>
      </c>
      <c r="P55" s="123">
        <f t="shared" ca="1" si="33"/>
        <v>52.281260191561785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842200</v>
      </c>
      <c r="M56" s="466">
        <f t="shared" ca="1" si="35"/>
        <v>631650</v>
      </c>
      <c r="N56" s="466">
        <f t="shared" ca="1" si="35"/>
        <v>330234.58</v>
      </c>
      <c r="O56" s="466">
        <f t="shared" ca="1" si="32"/>
        <v>39.210945143671339</v>
      </c>
      <c r="P56" s="466">
        <f t="shared" ca="1" si="33"/>
        <v>52.281260191561785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IFERROR(__xludf.DUMMYFUNCTION("IMPORTRANGE(""https://docs.google.com/spreadsheets/d/1MeEWN-I1oV_STSDYn1IFDPWt_1FKiwhDph83XaGc0o0/edit?usp=sharing"",""งบพรบ!W14"")"),842200)</f>
        <v>842200</v>
      </c>
      <c r="M58" s="93">
        <f ca="1">IFERROR(__xludf.DUMMYFUNCTION("IMPORTRANGE(""https://docs.google.com/spreadsheets/d/1MeEWN-I1oV_STSDYn1IFDPWt_1FKiwhDph83XaGc0o0/edit?usp=sharing"",""งบพรบ!AB14"")"),631650)</f>
        <v>631650</v>
      </c>
      <c r="N58" s="93">
        <f ca="1">IFERROR(__xludf.DUMMYFUNCTION("IMPORTRANGE(""https://docs.google.com/spreadsheets/d/1MeEWN-I1oV_STSDYn1IFDPWt_1FKiwhDph83XaGc0o0/edit?usp=sharing"",""งบพรบ!AD14"")"),330234.58)</f>
        <v>330234.58</v>
      </c>
      <c r="O58" s="93">
        <f t="shared" ca="1" si="32"/>
        <v>39.210945143671339</v>
      </c>
      <c r="P58" s="93">
        <f t="shared" ca="1" si="33"/>
        <v>52.281260191561785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IFERROR(__xludf.DUMMYFUNCTION("IMPORTRANGE(""https://docs.google.com/spreadsheets/d/1MeEWN-I1oV_STSDYn1IFDPWt_1FKiwhDph83XaGc0o0/edit?usp=sharing"",""งบพรบ!Z14"")"),0)</f>
        <v>0</v>
      </c>
      <c r="M61" s="52">
        <f ca="1">IFERROR(__xludf.DUMMYFUNCTION("IMPORTRANGE(""https://docs.google.com/spreadsheets/d/1MeEWN-I1oV_STSDYn1IFDPWt_1FKiwhDph83XaGc0o0/edit?usp=sharing"",""งบพรบ!AC14"")"),0)</f>
        <v>0</v>
      </c>
      <c r="N61" s="52">
        <f ca="1">IFERROR(__xludf.DUMMYFUNCTION("IMPORTRANGE(""https://docs.google.com/spreadsheets/d/1MeEWN-I1oV_STSDYn1IFDPWt_1FKiwhDph83XaGc0o0/edit?usp=sharing"",""งบพรบ!AE14"")"),0)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1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IFERROR(__xludf.DUMMYFUNCTION("IMPORTRANGE(""https://docs.google.com/spreadsheets/d/1MeEWN-I1oV_STSDYn1IFDPWt_1FKiwhDph83XaGc0o0/edit?usp=sharing"",""งบพรบ!AG14"")"),0)</f>
        <v>0</v>
      </c>
      <c r="M71" s="93">
        <f ca="1">IFERROR(__xludf.DUMMYFUNCTION("IMPORTRANGE(""https://docs.google.com/spreadsheets/d/1MeEWN-I1oV_STSDYn1IFDPWt_1FKiwhDph83XaGc0o0/edit?usp=sharing"",""งบพรบ!AL14"")"),0)</f>
        <v>0</v>
      </c>
      <c r="N71" s="93">
        <f ca="1">IFERROR(__xludf.DUMMYFUNCTION("IMPORTRANGE(""https://docs.google.com/spreadsheets/d/1MeEWN-I1oV_STSDYn1IFDPWt_1FKiwhDph83XaGc0o0/edit?usp=sharing"",""งบพรบ!AN14"")"),0)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IFERROR(__xludf.DUMMYFUNCTION("IMPORTRANGE(""https://docs.google.com/spreadsheets/d/1MeEWN-I1oV_STSDYn1IFDPWt_1FKiwhDph83XaGc0o0/edit?usp=sharing"",""งบพรบ!AJ14"")"),0)</f>
        <v>0</v>
      </c>
      <c r="M74" s="93">
        <f ca="1">IFERROR(__xludf.DUMMYFUNCTION("IMPORTRANGE(""https://docs.google.com/spreadsheets/d/1MeEWN-I1oV_STSDYn1IFDPWt_1FKiwhDph83XaGc0o0/edit?usp=sharing"",""งบพรบ!AM14"")"),0)</f>
        <v>0</v>
      </c>
      <c r="N74" s="93">
        <f ca="1">IFERROR(__xludf.DUMMYFUNCTION("IMPORTRANGE(""https://docs.google.com/spreadsheets/d/1MeEWN-I1oV_STSDYn1IFDPWt_1FKiwhDph83XaGc0o0/edit?usp=sharing"",""งบพรบ!AO14"")"),0)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IFERROR(__xludf.DUMMYFUNCTION("IMPORTRANGE(""https://docs.google.com/spreadsheets/d/1QqKyyYR6Q21VydFLVH3TRQUabQu_ym0Zz7PgGX0-kHA/edit?usp=sharing"",""แผน!H14"")"),0)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IFERROR(__xludf.DUMMYFUNCTION("IMPORTRANGE(""https://docs.google.com/spreadsheets/d/1QqKyyYR6Q21VydFLVH3TRQUabQu_ym0Zz7PgGX0-kHA/edit?usp=sharing"",""แผน!I14"")"),0)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IFERROR(__xludf.DUMMYFUNCTION("IMPORTRANGE(""https://docs.google.com/spreadsheets/d/1QqKyyYR6Q21VydFLVH3TRQUabQu_ym0Zz7PgGX0-kHA/edit?usp=sharing"",""แผน!F14"")"),0)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IFERROR(__xludf.DUMMYFUNCTION("IMPORTRANGE(""https://docs.google.com/spreadsheets/d/1QqKyyYR6Q21VydFLVH3TRQUabQu_ym0Zz7PgGX0-kHA/edit?usp=sharing"",""แผน!G14"")"),0)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IFERROR(__xludf.DUMMYFUNCTION("IMPORTRANGE(""https://docs.google.com/spreadsheets/d/1QqKyyYR6Q21VydFLVH3TRQUabQu_ym0Zz7PgGX0-kHA/edit?usp=sharing"",""แผน!D14"")"),0)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IFERROR(__xludf.DUMMYFUNCTION("IMPORTRANGE(""https://docs.google.com/spreadsheets/d/1QqKyyYR6Q21VydFLVH3TRQUabQu_ym0Zz7PgGX0-kHA/edit?usp=sharing"",""แผน!E14"")"),0)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IFERROR(__xludf.DUMMYFUNCTION("IMPORTRANGE(""https://docs.google.com/spreadsheets/d/1QqKyyYR6Q21VydFLVH3TRQUabQu_ym0Zz7PgGX0-kHA/edit?usp=sharing"",""แผน!J14"")"),0)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98460</v>
      </c>
      <c r="M88" s="155">
        <f t="shared" ca="1" si="49"/>
        <v>62510</v>
      </c>
      <c r="N88" s="155">
        <f t="shared" ca="1" si="49"/>
        <v>16650</v>
      </c>
      <c r="O88" s="155">
        <f t="shared" ref="O88:O96" ca="1" si="50">IF(L88&gt;0,N88*100/L88,0)</f>
        <v>16.910420475319928</v>
      </c>
      <c r="P88" s="155">
        <f t="shared" ref="P88:P96" ca="1" si="51">IF(M88&gt;0,N88*100/M88,0)</f>
        <v>26.6357382818749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98460</v>
      </c>
      <c r="M90" s="93">
        <f t="shared" ca="1" si="52"/>
        <v>62510</v>
      </c>
      <c r="N90" s="93">
        <f t="shared" ca="1" si="52"/>
        <v>16650</v>
      </c>
      <c r="O90" s="93">
        <f t="shared" ca="1" si="50"/>
        <v>16.910420475319928</v>
      </c>
      <c r="P90" s="93">
        <f t="shared" ca="1" si="51"/>
        <v>26.6357382818749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98460</v>
      </c>
      <c r="M91" s="466">
        <f t="shared" ca="1" si="53"/>
        <v>62510</v>
      </c>
      <c r="N91" s="466">
        <f t="shared" ca="1" si="53"/>
        <v>16650</v>
      </c>
      <c r="O91" s="466">
        <f t="shared" ca="1" si="50"/>
        <v>16.910420475319928</v>
      </c>
      <c r="P91" s="466">
        <f t="shared" ca="1" si="51"/>
        <v>26.6357382818749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IFERROR(__xludf.DUMMYFUNCTION("IMPORTRANGE(""https://docs.google.com/spreadsheets/d/1MeEWN-I1oV_STSDYn1IFDPWt_1FKiwhDph83XaGc0o0/edit?usp=sharing"",""งบพรบ!AQ14"")"),98460)</f>
        <v>98460</v>
      </c>
      <c r="M93" s="93">
        <f ca="1">IFERROR(__xludf.DUMMYFUNCTION("IMPORTRANGE(""https://docs.google.com/spreadsheets/d/1MeEWN-I1oV_STSDYn1IFDPWt_1FKiwhDph83XaGc0o0/edit?usp=sharing"",""งบพรบ!AV14"")"),62510)</f>
        <v>62510</v>
      </c>
      <c r="N93" s="93">
        <f ca="1">IFERROR(__xludf.DUMMYFUNCTION("IMPORTRANGE(""https://docs.google.com/spreadsheets/d/1MeEWN-I1oV_STSDYn1IFDPWt_1FKiwhDph83XaGc0o0/edit?usp=sharing"",""งบพรบ!AX14"")"),16650)</f>
        <v>16650</v>
      </c>
      <c r="O93" s="93">
        <f t="shared" ca="1" si="50"/>
        <v>16.910420475319928</v>
      </c>
      <c r="P93" s="93">
        <f t="shared" ca="1" si="51"/>
        <v>26.6357382818749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IFERROR(__xludf.DUMMYFUNCTION("IMPORTRANGE(""https://docs.google.com/spreadsheets/d/1MeEWN-I1oV_STSDYn1IFDPWt_1FKiwhDph83XaGc0o0/edit?usp=sharing"",""งบพรบ!AT14"")"),0)</f>
        <v>0</v>
      </c>
      <c r="M96" s="93">
        <f ca="1">IFERROR(__xludf.DUMMYFUNCTION("IMPORTRANGE(""https://docs.google.com/spreadsheets/d/1MeEWN-I1oV_STSDYn1IFDPWt_1FKiwhDph83XaGc0o0/edit?usp=sharing"",""งบพรบ!AW14"")"),0)</f>
        <v>0</v>
      </c>
      <c r="N96" s="93">
        <f ca="1">IFERROR(__xludf.DUMMYFUNCTION("IMPORTRANGE(""https://docs.google.com/spreadsheets/d/1MeEWN-I1oV_STSDYn1IFDPWt_1FKiwhDph83XaGc0o0/edit?usp=sharing"",""งบพรบ!AY14"")"),0)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IFERROR(__xludf.DUMMYFUNCTION("IMPORTRANGE(""https://docs.google.com/spreadsheets/d/1QqKyyYR6Q21VydFLVH3TRQUabQu_ym0Zz7PgGX0-kHA/edit?usp=sharing"",""แผน!K14"")"),45)</f>
        <v>45</v>
      </c>
      <c r="J98" s="270">
        <f>J102</f>
        <v>45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IFERROR(__xludf.DUMMYFUNCTION("IMPORTRANGE(""https://docs.google.com/spreadsheets/d/1QqKyyYR6Q21VydFLVH3TRQUabQu_ym0Zz7PgGX0-kHA/edit?usp=sharing"",""แผน!L14"")"),15)</f>
        <v>15</v>
      </c>
      <c r="J99" s="270">
        <f>J104</f>
        <v>15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IFERROR(__xludf.DUMMYFUNCTION("IMPORTRANGE(""https://docs.google.com/spreadsheets/d/1QqKyyYR6Q21VydFLVH3TRQUabQu_ym0Zz7PgGX0-kHA/edit?usp=sharing"",""แผน!M14"")"),2)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IFERROR(__xludf.DUMMYFUNCTION("IMPORTRANGE(""https://docs.google.com/spreadsheets/d/1QqKyyYR6Q21VydFLVH3TRQUabQu_ym0Zz7PgGX0-kHA/edit?usp=sharing"",""แผน!N14"")"),45)</f>
        <v>45</v>
      </c>
      <c r="J102" s="215">
        <v>45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IFERROR(__xludf.DUMMYFUNCTION("IMPORTRANGE(""https://docs.google.com/spreadsheets/d/1QqKyyYR6Q21VydFLVH3TRQUabQu_ym0Zz7PgGX0-kHA/edit?usp=sharing"",""แผน!O14"")"),15)</f>
        <v>15</v>
      </c>
      <c r="J103" s="215">
        <v>15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IFERROR(__xludf.DUMMYFUNCTION("IMPORTRANGE(""https://docs.google.com/spreadsheets/d/1QqKyyYR6Q21VydFLVH3TRQUabQu_ym0Zz7PgGX0-kHA/edit?usp=sharing"",""แผน!O14"")"),15)</f>
        <v>15</v>
      </c>
      <c r="J104" s="215">
        <v>15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IFERROR(__xludf.DUMMYFUNCTION("IMPORTRANGE(""https://docs.google.com/spreadsheets/d/1QqKyyYR6Q21VydFLVH3TRQUabQu_ym0Zz7PgGX0-kHA/edit?usp=sharing"",""แผน!P14"")"),1)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IFERROR(__xludf.DUMMYFUNCTION("IMPORTRANGE(""https://docs.google.com/spreadsheets/d/1QqKyyYR6Q21VydFLVH3TRQUabQu_ym0Zz7PgGX0-kHA/edit?usp=sharing"",""แผน!P14"")"),1)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IFERROR(__xludf.DUMMYFUNCTION("IMPORTRANGE(""https://docs.google.com/spreadsheets/d/1QqKyyYR6Q21VydFLVH3TRQUabQu_ym0Zz7PgGX0-kHA/edit?usp=sharing"",""แผน!Q14"")"),1)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IFERROR(__xludf.DUMMYFUNCTION("IMPORTRANGE(""https://docs.google.com/spreadsheets/d/1QqKyyYR6Q21VydFLVH3TRQUabQu_ym0Zz7PgGX0-kHA/edit?usp=sharing"",""แผน!Q14"")"),1)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IFERROR(__xludf.DUMMYFUNCTION("IMPORTRANGE(""https://docs.google.com/spreadsheets/d/1QqKyyYR6Q21VydFLVH3TRQUabQu_ym0Zz7PgGX0-kHA/edit?usp=sharing"",""แผน!R14"")"),15)</f>
        <v>15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IFERROR(__xludf.DUMMYFUNCTION("IMPORTRANGE(""https://docs.google.com/spreadsheets/d/1QqKyyYR6Q21VydFLVH3TRQUabQu_ym0Zz7PgGX0-kHA/edit?usp=sharing"",""แผน!R14"")"),15)</f>
        <v>15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IFERROR(__xludf.DUMMYFUNCTION("IMPORTRANGE(""https://docs.google.com/spreadsheets/d/1QqKyyYR6Q21VydFLVH3TRQUabQu_ym0Zz7PgGX0-kHA/edit?usp=sharing"",""แผน!R14"")"),15)</f>
        <v>15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IFERROR(__xludf.DUMMYFUNCTION("IMPORTRANGE(""https://docs.google.com/spreadsheets/d/1QqKyyYR6Q21VydFLVH3TRQUabQu_ym0Zz7PgGX0-kHA/edit?usp=sharing"",""แผน!S14"")"),1)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IFERROR(__xludf.DUMMYFUNCTION("IMPORTRANGE(""https://docs.google.com/spreadsheets/d/1QqKyyYR6Q21VydFLVH3TRQUabQu_ym0Zz7PgGX0-kHA/edit?usp=sharing"",""แผน!T14"")"),1)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1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IFERROR(__xludf.DUMMYFUNCTION("IMPORTRANGE(""https://docs.google.com/spreadsheets/d/1MeEWN-I1oV_STSDYn1IFDPWt_1FKiwhDph83XaGc0o0/edit?usp=sharing"",""งบพรบ!BA14"")"),0)</f>
        <v>0</v>
      </c>
      <c r="M124" s="93">
        <f ca="1">IFERROR(__xludf.DUMMYFUNCTION("IMPORTRANGE(""https://docs.google.com/spreadsheets/d/1MeEWN-I1oV_STSDYn1IFDPWt_1FKiwhDph83XaGc0o0/edit?usp=sharing"",""งบพรบ!BF14"")"),0)</f>
        <v>0</v>
      </c>
      <c r="N124" s="93">
        <f ca="1">IFERROR(__xludf.DUMMYFUNCTION("IMPORTRANGE(""https://docs.google.com/spreadsheets/d/1MeEWN-I1oV_STSDYn1IFDPWt_1FKiwhDph83XaGc0o0/edit?usp=sharing"",""งบพรบ!BH14"")"),0)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IFERROR(__xludf.DUMMYFUNCTION("IMPORTRANGE(""https://docs.google.com/spreadsheets/d/1MeEWN-I1oV_STSDYn1IFDPWt_1FKiwhDph83XaGc0o0/edit?usp=sharing"",""งบพรบ!BD14"")"),0)</f>
        <v>0</v>
      </c>
      <c r="M127" s="93">
        <f ca="1">IFERROR(__xludf.DUMMYFUNCTION("IMPORTRANGE(""https://docs.google.com/spreadsheets/d/1MeEWN-I1oV_STSDYn1IFDPWt_1FKiwhDph83XaGc0o0/edit?usp=sharing"",""งบพรบ!BG14"")"),0)</f>
        <v>0</v>
      </c>
      <c r="N127" s="93">
        <f ca="1">IFERROR(__xludf.DUMMYFUNCTION("IMPORTRANGE(""https://docs.google.com/spreadsheets/d/1MeEWN-I1oV_STSDYn1IFDPWt_1FKiwhDph83XaGc0o0/edit?usp=sharing"",""งบพรบ!BI14"")"),0)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IFERROR(__xludf.DUMMYFUNCTION("IMPORTRANGE(""https://docs.google.com/spreadsheets/d/1MeEWN-I1oV_STSDYn1IFDPWt_1FKiwhDph83XaGc0o0/edit?usp=sharing"",""งบพรบ!BK14"")"),0)</f>
        <v>0</v>
      </c>
      <c r="M137" s="93">
        <f ca="1">IFERROR(__xludf.DUMMYFUNCTION("IMPORTRANGE(""https://docs.google.com/spreadsheets/d/1MeEWN-I1oV_STSDYn1IFDPWt_1FKiwhDph83XaGc0o0/edit?usp=sharing"",""งบพรบ!BP14"")"),0)</f>
        <v>0</v>
      </c>
      <c r="N137" s="93">
        <f ca="1">IFERROR(__xludf.DUMMYFUNCTION("IMPORTRANGE(""https://docs.google.com/spreadsheets/d/1MeEWN-I1oV_STSDYn1IFDPWt_1FKiwhDph83XaGc0o0/edit?usp=sharing"",""งบพรบ!BR14"")"),0)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IFERROR(__xludf.DUMMYFUNCTION("IMPORTRANGE(""https://docs.google.com/spreadsheets/d/1MeEWN-I1oV_STSDYn1IFDPWt_1FKiwhDph83XaGc0o0/edit?usp=sharing"",""งบพรบ!BN14"")"),0)</f>
        <v>0</v>
      </c>
      <c r="M140" s="93">
        <f ca="1">IFERROR(__xludf.DUMMYFUNCTION("IMPORTRANGE(""https://docs.google.com/spreadsheets/d/1MeEWN-I1oV_STSDYn1IFDPWt_1FKiwhDph83XaGc0o0/edit?usp=sharing"",""งบพรบ!BQ14"")"),0)</f>
        <v>0</v>
      </c>
      <c r="N140" s="93">
        <f ca="1">IFERROR(__xludf.DUMMYFUNCTION("IMPORTRANGE(""https://docs.google.com/spreadsheets/d/1MeEWN-I1oV_STSDYn1IFDPWt_1FKiwhDph83XaGc0o0/edit?usp=sharing"",""งบพรบ!BS14"")"),0)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IFERROR(__xludf.DUMMYFUNCTION("IMPORTRANGE(""https://docs.google.com/spreadsheets/d/1QqKyyYR6Q21VydFLVH3TRQUabQu_ym0Zz7PgGX0-kHA/edit?usp=sharing"",""แผน!U14"")"),0)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IFERROR(__xludf.DUMMYFUNCTION("IMPORTRANGE(""https://docs.google.com/spreadsheets/d/1QqKyyYR6Q21VydFLVH3TRQUabQu_ym0Zz7PgGX0-kHA/edit?usp=sharing"",""แผน!V14"")"),0)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IFERROR(__xludf.DUMMYFUNCTION("IMPORTRANGE(""https://docs.google.com/spreadsheets/d/1QqKyyYR6Q21VydFLVH3TRQUabQu_ym0Zz7PgGX0-kHA/edit?usp=sharing"",""แผน!W14"")"),0)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1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IFERROR(__xludf.DUMMYFUNCTION("IMPORTRANGE(""https://docs.google.com/spreadsheets/d/1MeEWN-I1oV_STSDYn1IFDPWt_1FKiwhDph83XaGc0o0/edit?usp=sharing"",""งบพรบ!BU14"")"),0)</f>
        <v>0</v>
      </c>
      <c r="M154" s="93">
        <f ca="1">IFERROR(__xludf.DUMMYFUNCTION("IMPORTRANGE(""https://docs.google.com/spreadsheets/d/1MeEWN-I1oV_STSDYn1IFDPWt_1FKiwhDph83XaGc0o0/edit?usp=sharing"",""งบพรบ!BZ14"")"),0)</f>
        <v>0</v>
      </c>
      <c r="N154" s="93">
        <f ca="1">IFERROR(__xludf.DUMMYFUNCTION("IMPORTRANGE(""https://docs.google.com/spreadsheets/d/1MeEWN-I1oV_STSDYn1IFDPWt_1FKiwhDph83XaGc0o0/edit?usp=sharing"",""งบพรบ!CB14"")"),0)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IFERROR(__xludf.DUMMYFUNCTION("IMPORTRANGE(""https://docs.google.com/spreadsheets/d/1MeEWN-I1oV_STSDYn1IFDPWt_1FKiwhDph83XaGc0o0/edit?usp=sharing"",""งบพรบ!BX14"")"),0)</f>
        <v>0</v>
      </c>
      <c r="M157" s="93">
        <f ca="1">IFERROR(__xludf.DUMMYFUNCTION("IMPORTRANGE(""https://docs.google.com/spreadsheets/d/1MeEWN-I1oV_STSDYn1IFDPWt_1FKiwhDph83XaGc0o0/edit?usp=sharing"",""งบพรบ!CA14"")"),0)</f>
        <v>0</v>
      </c>
      <c r="N157" s="93">
        <f ca="1">IFERROR(__xludf.DUMMYFUNCTION("IMPORTRANGE(""https://docs.google.com/spreadsheets/d/1MeEWN-I1oV_STSDYn1IFDPWt_1FKiwhDph83XaGc0o0/edit?usp=sharing"",""งบพรบ!CC14"")"),0)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IFERROR(__xludf.DUMMYFUNCTION("IMPORTRANGE(""https://docs.google.com/spreadsheets/d/1QqKyyYR6Q21VydFLVH3TRQUabQu_ym0Zz7PgGX0-kHA/edit?usp=sharing"",""แผน!X14"")"),0)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1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34730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66.397926864382384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23060</v>
      </c>
      <c r="M167" s="93">
        <f t="shared" ca="1" si="87"/>
        <v>34730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66.397926864382384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34730</v>
      </c>
      <c r="N168" s="466">
        <f t="shared" ca="1" si="88"/>
        <v>23060</v>
      </c>
      <c r="O168" s="466">
        <f t="shared" ca="1" si="85"/>
        <v>100</v>
      </c>
      <c r="P168" s="466">
        <f t="shared" ca="1" si="86"/>
        <v>66.397926864382384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IFERROR(__xludf.DUMMYFUNCTION("IMPORTRANGE(""https://docs.google.com/spreadsheets/d/1MeEWN-I1oV_STSDYn1IFDPWt_1FKiwhDph83XaGc0o0/edit?usp=sharing"",""งบพรบ!CE14"")"),23060)</f>
        <v>23060</v>
      </c>
      <c r="M170" s="93">
        <f ca="1">IFERROR(__xludf.DUMMYFUNCTION("IMPORTRANGE(""https://docs.google.com/spreadsheets/d/1MeEWN-I1oV_STSDYn1IFDPWt_1FKiwhDph83XaGc0o0/edit?usp=sharing"",""งบพรบ!CJ14"")"),34730)</f>
        <v>34730</v>
      </c>
      <c r="N170" s="93">
        <f ca="1">IFERROR(__xludf.DUMMYFUNCTION("IMPORTRANGE(""https://docs.google.com/spreadsheets/d/1MeEWN-I1oV_STSDYn1IFDPWt_1FKiwhDph83XaGc0o0/edit?usp=sharing"",""งบพรบ!CL14"")"),23060)</f>
        <v>23060</v>
      </c>
      <c r="O170" s="93">
        <f t="shared" ca="1" si="85"/>
        <v>100</v>
      </c>
      <c r="P170" s="93">
        <f t="shared" ca="1" si="86"/>
        <v>66.397926864382384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IFERROR(__xludf.DUMMYFUNCTION("IMPORTRANGE(""https://docs.google.com/spreadsheets/d/1MeEWN-I1oV_STSDYn1IFDPWt_1FKiwhDph83XaGc0o0/edit?usp=sharing"",""งบพรบ!CH14"")"),0)</f>
        <v>0</v>
      </c>
      <c r="M173" s="93">
        <f ca="1">IFERROR(__xludf.DUMMYFUNCTION("IMPORTRANGE(""https://docs.google.com/spreadsheets/d/1MeEWN-I1oV_STSDYn1IFDPWt_1FKiwhDph83XaGc0o0/edit?usp=sharing"",""งบพรบ!CK14"")"),0)</f>
        <v>0</v>
      </c>
      <c r="N173" s="93">
        <f ca="1">IFERROR(__xludf.DUMMYFUNCTION("IMPORTRANGE(""https://docs.google.com/spreadsheets/d/1MeEWN-I1oV_STSDYn1IFDPWt_1FKiwhDph83XaGc0o0/edit?usp=sharing"",""งบพรบ!CM14"")"),0)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IFERROR(__xludf.DUMMYFUNCTION("IMPORTRANGE(""https://docs.google.com/spreadsheets/d/1QqKyyYR6Q21VydFLVH3TRQUabQu_ym0Zz7PgGX0-kHA/edit?usp=sharing"",""แผน!Y14"")"),12)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1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63500</v>
      </c>
      <c r="M181" s="155">
        <f t="shared" ca="1" si="92"/>
        <v>48500</v>
      </c>
      <c r="N181" s="155">
        <f t="shared" ca="1" si="92"/>
        <v>29000</v>
      </c>
      <c r="O181" s="155">
        <f t="shared" ref="O181:O189" ca="1" si="93">IF(L181&gt;0,N181*100/L181,0)</f>
        <v>45.669291338582674</v>
      </c>
      <c r="P181" s="155">
        <f t="shared" ref="P181:P189" ca="1" si="94">IF(M181&gt;0,N181*100/M181,0)</f>
        <v>59.793814432989691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63500</v>
      </c>
      <c r="M183" s="93">
        <f t="shared" ca="1" si="95"/>
        <v>48500</v>
      </c>
      <c r="N183" s="93">
        <f t="shared" ca="1" si="95"/>
        <v>29000</v>
      </c>
      <c r="O183" s="93">
        <f t="shared" ca="1" si="93"/>
        <v>45.669291338582674</v>
      </c>
      <c r="P183" s="93">
        <f t="shared" ca="1" si="94"/>
        <v>59.793814432989691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6">L185+L186</f>
        <v>63500</v>
      </c>
      <c r="M184" s="466">
        <f t="shared" ca="1" si="96"/>
        <v>48500</v>
      </c>
      <c r="N184" s="466">
        <f t="shared" ca="1" si="96"/>
        <v>29000</v>
      </c>
      <c r="O184" s="466">
        <f t="shared" ca="1" si="93"/>
        <v>45.669291338582674</v>
      </c>
      <c r="P184" s="466">
        <f t="shared" ca="1" si="94"/>
        <v>59.793814432989691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IFERROR(__xludf.DUMMYFUNCTION("IMPORTRANGE(""https://docs.google.com/spreadsheets/d/1MeEWN-I1oV_STSDYn1IFDPWt_1FKiwhDph83XaGc0o0/edit?usp=sharing"",""งบพรบ!CO14"")"),63500)</f>
        <v>63500</v>
      </c>
      <c r="M186" s="93">
        <f ca="1">IFERROR(__xludf.DUMMYFUNCTION("IMPORTRANGE(""https://docs.google.com/spreadsheets/d/1MeEWN-I1oV_STSDYn1IFDPWt_1FKiwhDph83XaGc0o0/edit?usp=sharing"",""งบพรบ!CT14"")"),48500)</f>
        <v>48500</v>
      </c>
      <c r="N186" s="93">
        <f ca="1">IFERROR(__xludf.DUMMYFUNCTION("IMPORTRANGE(""https://docs.google.com/spreadsheets/d/1MeEWN-I1oV_STSDYn1IFDPWt_1FKiwhDph83XaGc0o0/edit?usp=sharing"",""งบพรบ!CV14"")"),29000)</f>
        <v>29000</v>
      </c>
      <c r="O186" s="93">
        <f t="shared" ca="1" si="93"/>
        <v>45.669291338582674</v>
      </c>
      <c r="P186" s="93">
        <f t="shared" ca="1" si="94"/>
        <v>59.793814432989691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IFERROR(__xludf.DUMMYFUNCTION("IMPORTRANGE(""https://docs.google.com/spreadsheets/d/1MeEWN-I1oV_STSDYn1IFDPWt_1FKiwhDph83XaGc0o0/edit?usp=sharing"",""งบพรบ!CR14"")"),0)</f>
        <v>0</v>
      </c>
      <c r="M189" s="93">
        <f ca="1">IFERROR(__xludf.DUMMYFUNCTION("IMPORTRANGE(""https://docs.google.com/spreadsheets/d/1MeEWN-I1oV_STSDYn1IFDPWt_1FKiwhDph83XaGc0o0/edit?usp=sharing"",""งบพรบ!CU14"")"),0)</f>
        <v>0</v>
      </c>
      <c r="N189" s="93">
        <f ca="1">IFERROR(__xludf.DUMMYFUNCTION("IMPORTRANGE(""https://docs.google.com/spreadsheets/d/1MeEWN-I1oV_STSDYn1IFDPWt_1FKiwhDph83XaGc0o0/edit?usp=sharing"",""งบพรบ!CW14"")"),0)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IFERROR(__xludf.DUMMYFUNCTION("IMPORTRANGE(""https://docs.google.com/spreadsheets/d/1QqKyyYR6Q21VydFLVH3TRQUabQu_ym0Zz7PgGX0-kHA/edit?usp=sharing"",""แผน!Z14"")"),6000)</f>
        <v>6000</v>
      </c>
      <c r="M191" s="155"/>
      <c r="N191" s="276">
        <v>2000</v>
      </c>
      <c r="O191" s="155">
        <f ca="1">IF(L191&gt;0,N191*100/L191,0)</f>
        <v>33.333333333333336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IFERROR(__xludf.DUMMYFUNCTION("IMPORTRANGE(""https://docs.google.com/spreadsheets/d/1QqKyyYR6Q21VydFLVH3TRQUabQu_ym0Zz7PgGX0-kHA/edit?usp=sharing"",""แผน!AC14"")"),4)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55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55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27000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IFERROR(__xludf.DUMMYFUNCTION("IMPORTRANGE(""https://docs.google.com/spreadsheets/d/1QqKyyYR6Q21VydFLVH3TRQUabQu_ym0Zz7PgGX0-kHA/edit?usp=sharing"",""แผน!AE14"")"),3000)</f>
        <v>3000</v>
      </c>
      <c r="M199" s="466"/>
      <c r="N199" s="801">
        <v>3000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IFERROR(__xludf.DUMMYFUNCTION("IMPORTRANGE(""https://docs.google.com/spreadsheets/d/1QqKyyYR6Q21VydFLVH3TRQUabQu_ym0Zz7PgGX0-kHA/edit?usp=sharing"",""แผน!AF14"")"),24000)</f>
        <v>24000</v>
      </c>
      <c r="M200" s="466"/>
      <c r="N200" s="801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IFERROR(__xludf.DUMMYFUNCTION("IMPORTRANGE(""https://docs.google.com/spreadsheets/d/1QqKyyYR6Q21VydFLVH3TRQUabQu_ym0Zz7PgGX0-kHA/edit?usp=sharing"",""แผน!AG14"")"),12000)</f>
        <v>12000</v>
      </c>
      <c r="M201" s="466"/>
      <c r="N201" s="801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IFERROR(__xludf.DUMMYFUNCTION("IMPORTRANGE(""https://docs.google.com/spreadsheets/d/1QqKyyYR6Q21VydFLVH3TRQUabQu_ym0Zz7PgGX0-kHA/edit?usp=sharing"",""แผน!AH14"")"),0)</f>
        <v>0</v>
      </c>
      <c r="M202" s="466"/>
      <c r="N202" s="801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IFERROR(__xludf.DUMMYFUNCTION("IMPORTRANGE(""https://docs.google.com/spreadsheets/d/1QqKyyYR6Q21VydFLVH3TRQUabQu_ym0Zz7PgGX0-kHA/edit?usp=sharing"",""แผน!AI14"")"),3)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IFERROR(__xludf.DUMMYFUNCTION("IMPORTRANGE(""https://docs.google.com/spreadsheets/d/1QqKyyYR6Q21VydFLVH3TRQUabQu_ym0Zz7PgGX0-kHA/edit?usp=sharing"",""แผน!AK14"")"),0)</f>
        <v>0</v>
      </c>
      <c r="M210" s="466"/>
      <c r="N210" s="801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IFERROR(__xludf.DUMMYFUNCTION("IMPORTRANGE(""https://docs.google.com/spreadsheets/d/1QqKyyYR6Q21VydFLVH3TRQUabQu_ym0Zz7PgGX0-kHA/edit?usp=sharing"",""แผน!AL14"")"),0)</f>
        <v>0</v>
      </c>
      <c r="M211" s="466"/>
      <c r="N211" s="801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IFERROR(__xludf.DUMMYFUNCTION("IMPORTRANGE(""https://docs.google.com/spreadsheets/d/1QqKyyYR6Q21VydFLVH3TRQUabQu_ym0Zz7PgGX0-kHA/edit?usp=sharing"",""แผน!AM14"")"),0)</f>
        <v>0</v>
      </c>
      <c r="M212" s="466"/>
      <c r="N212" s="801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IFERROR(__xludf.DUMMYFUNCTION("IMPORTRANGE(""https://docs.google.com/spreadsheets/d/1QqKyyYR6Q21VydFLVH3TRQUabQu_ym0Zz7PgGX0-kHA/edit?usp=sharing"",""แผน!AN14"")"),0)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IFERROR(__xludf.DUMMYFUNCTION("IMPORTRANGE(""https://docs.google.com/spreadsheets/d/1QqKyyYR6Q21VydFLVH3TRQUabQu_ym0Zz7PgGX0-kHA/edit?usp=sharing"",""แผน!AN14"")"),0)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IFERROR(__xludf.DUMMYFUNCTION("IMPORTRANGE(""https://docs.google.com/spreadsheets/d/1QqKyyYR6Q21VydFLVH3TRQUabQu_ym0Zz7PgGX0-kHA/edit?usp=sharing"",""แผน!AP14"")"),5000)</f>
        <v>5000</v>
      </c>
      <c r="M218" s="466"/>
      <c r="N218" s="801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IFERROR(__xludf.DUMMYFUNCTION("IMPORTRANGE(""https://docs.google.com/spreadsheets/d/1QqKyyYR6Q21VydFLVH3TRQUabQu_ym0Zz7PgGX0-kHA/edit?usp=sharing"",""แผน!AQ14"")"),13500)</f>
        <v>13500</v>
      </c>
      <c r="M219" s="466"/>
      <c r="N219" s="801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IFERROR(__xludf.DUMMYFUNCTION("IMPORTRANGE(""https://docs.google.com/spreadsheets/d/1QqKyyYR6Q21VydFLVH3TRQUabQu_ym0Zz7PgGX0-kHA/edit?usp=sharing"",""แผน!AR14"")"),0)</f>
        <v>0</v>
      </c>
      <c r="M220" s="466"/>
      <c r="N220" s="801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IFERROR(__xludf.DUMMYFUNCTION("IMPORTRANGE(""https://docs.google.com/spreadsheets/d/1QqKyyYR6Q21VydFLVH3TRQUabQu_ym0Zz7PgGX0-kHA/edit?usp=sharing"",""แผน!AT14"")"),50000)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IFERROR(__xludf.DUMMYFUNCTION("IMPORTRANGE(""https://docs.google.com/spreadsheets/d/1QqKyyYR6Q21VydFLVH3TRQUabQu_ym0Zz7PgGX0-kHA/edit?usp=sharing"",""แผน!AT14"")"),50000)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IFERROR(__xludf.DUMMYFUNCTION("IMPORTRANGE(""https://docs.google.com/spreadsheets/d/1QqKyyYR6Q21VydFLVH3TRQUabQu_ym0Zz7PgGX0-kHA/edit?usp=sharing"",""แผน!AS14"")"),0)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5">I237+I248</f>
        <v>0</v>
      </c>
      <c r="J226" s="821">
        <f t="shared" si="105"/>
        <v>0</v>
      </c>
      <c r="K226" s="82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6">L238+L249</f>
        <v>0</v>
      </c>
      <c r="M227" s="831"/>
      <c r="N227" s="831">
        <f t="shared" ref="N227:N231" si="107">N238+N249</f>
        <v>0</v>
      </c>
      <c r="O227" s="832"/>
      <c r="P227" s="83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35"/>
      <c r="R229" s="835"/>
      <c r="S229" s="835"/>
      <c r="T229" s="835"/>
      <c r="U229" s="835"/>
      <c r="V229" s="835"/>
      <c r="W229" s="835"/>
      <c r="X229" s="835"/>
      <c r="Y229" s="835"/>
      <c r="Z229" s="835"/>
    </row>
    <row r="230" spans="1:2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35"/>
      <c r="R230" s="835"/>
      <c r="S230" s="835"/>
      <c r="T230" s="835"/>
      <c r="U230" s="835"/>
      <c r="V230" s="835"/>
      <c r="W230" s="835"/>
      <c r="X230" s="835"/>
      <c r="Y230" s="835"/>
      <c r="Z230" s="835"/>
    </row>
    <row r="231" spans="1:2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35"/>
      <c r="R231" s="835"/>
      <c r="S231" s="835"/>
      <c r="T231" s="835"/>
      <c r="U231" s="835"/>
      <c r="V231" s="835"/>
      <c r="W231" s="835"/>
      <c r="X231" s="835"/>
      <c r="Y231" s="835"/>
      <c r="Z231" s="835"/>
    </row>
    <row r="232" spans="1:2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1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IFERROR(__xludf.DUMMYFUNCTION("IMPORTRANGE(""https://docs.google.com/spreadsheets/d/1QqKyyYR6Q21VydFLVH3TRQUabQu_ym0Zz7PgGX0-kHA/edit?usp=sharing"",""แผน!AV14"")"),0)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IFERROR(__xludf.DUMMYFUNCTION("IMPORTRANGE(""https://docs.google.com/spreadsheets/d/1QqKyyYR6Q21VydFLVH3TRQUabQu_ym0Zz7PgGX0-kHA/edit?usp=sharing"",""แผน!AW14"")"),0)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IFERROR(__xludf.DUMMYFUNCTION("IMPORTRANGE(""https://docs.google.com/spreadsheets/d/1QqKyyYR6Q21VydFLVH3TRQUabQu_ym0Zz7PgGX0-kHA/edit?usp=sharing"",""แผน!AX14"")"),0)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IFERROR(__xludf.DUMMYFUNCTION("IMPORTRANGE(""https://docs.google.com/spreadsheets/d/1QqKyyYR6Q21VydFLVH3TRQUabQu_ym0Zz7PgGX0-kHA/edit?usp=sharing"",""แผน!AY14"")"),0)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IFERROR(__xludf.DUMMYFUNCTION("IMPORTRANGE(""https://docs.google.com/spreadsheets/d/1QqKyyYR6Q21VydFLVH3TRQUabQu_ym0Zz7PgGX0-kHA/edit?usp=sharing"",""แผน!BE14"")"),0)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IFERROR(__xludf.DUMMYFUNCTION("IMPORTRANGE(""https://docs.google.com/spreadsheets/d/1QqKyyYR6Q21VydFLVH3TRQUabQu_ym0Zz7PgGX0-kHA/edit?usp=sharing"",""แผน!AZ14"")"),0)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IFERROR(__xludf.DUMMYFUNCTION("IMPORTRANGE(""https://docs.google.com/spreadsheets/d/1QqKyyYR6Q21VydFLVH3TRQUabQu_ym0Zz7PgGX0-kHA/edit?usp=sharing"",""แผน!BA14"")"),0)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IFERROR(__xludf.DUMMYFUNCTION("IMPORTRANGE(""https://docs.google.com/spreadsheets/d/1QqKyyYR6Q21VydFLVH3TRQUabQu_ym0Zz7PgGX0-kHA/edit?usp=sharing"",""แผน!BB14"")"),0)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IFERROR(__xludf.DUMMYFUNCTION("IMPORTRANGE(""https://docs.google.com/spreadsheets/d/1QqKyyYR6Q21VydFLVH3TRQUabQu_ym0Zz7PgGX0-kHA/edit?usp=sharing"",""แผน!BC14"")"),0)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IFERROR(__xludf.DUMMYFUNCTION("IMPORTRANGE(""https://docs.google.com/spreadsheets/d/1QqKyyYR6Q21VydFLVH3TRQUabQu_ym0Zz7PgGX0-kHA/edit?usp=sharing"",""แผน!BF14"")"),0)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1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21740</v>
      </c>
      <c r="O261" s="155">
        <f t="shared" ref="O261:O269" ca="1" si="117">IF(L261&gt;0,N261*100/L261,0)</f>
        <v>80.817843866171003</v>
      </c>
      <c r="P261" s="155">
        <f t="shared" ref="P261:P269" ca="1" si="118">IF(M261&gt;0,N261*100/M261,0)</f>
        <v>90.962343096234306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21740</v>
      </c>
      <c r="O263" s="93">
        <f t="shared" ca="1" si="117"/>
        <v>80.817843866171003</v>
      </c>
      <c r="P263" s="93">
        <f t="shared" ca="1" si="118"/>
        <v>90.962343096234306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21740</v>
      </c>
      <c r="O264" s="466">
        <f t="shared" ca="1" si="117"/>
        <v>80.817843866171003</v>
      </c>
      <c r="P264" s="466">
        <f t="shared" ca="1" si="118"/>
        <v>90.962343096234306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IFERROR(__xludf.DUMMYFUNCTION("IMPORTRANGE(""https://docs.google.com/spreadsheets/d/1MeEWN-I1oV_STSDYn1IFDPWt_1FKiwhDph83XaGc0o0/edit?usp=sharing"",""งบพรบ!CY14"")"),26900)</f>
        <v>26900</v>
      </c>
      <c r="M266" s="93">
        <f ca="1">IFERROR(__xludf.DUMMYFUNCTION("IMPORTRANGE(""https://docs.google.com/spreadsheets/d/1MeEWN-I1oV_STSDYn1IFDPWt_1FKiwhDph83XaGc0o0/edit?usp=sharing"",""งบพรบ!DD14"")"),23900)</f>
        <v>23900</v>
      </c>
      <c r="N266" s="93">
        <f ca="1">IFERROR(__xludf.DUMMYFUNCTION("IMPORTRANGE(""https://docs.google.com/spreadsheets/d/1MeEWN-I1oV_STSDYn1IFDPWt_1FKiwhDph83XaGc0o0/edit?usp=sharing"",""งบพรบ!DF14"")"),21740)</f>
        <v>21740</v>
      </c>
      <c r="O266" s="93">
        <f t="shared" ca="1" si="117"/>
        <v>80.817843866171003</v>
      </c>
      <c r="P266" s="93">
        <f t="shared" ca="1" si="118"/>
        <v>90.962343096234306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IFERROR(__xludf.DUMMYFUNCTION("IMPORTRANGE(""https://docs.google.com/spreadsheets/d/1MeEWN-I1oV_STSDYn1IFDPWt_1FKiwhDph83XaGc0o0/edit?usp=sharing"",""งบพรบ!DB14"")"),0)</f>
        <v>0</v>
      </c>
      <c r="M269" s="93">
        <f ca="1">IFERROR(__xludf.DUMMYFUNCTION("IMPORTRANGE(""https://docs.google.com/spreadsheets/d/1MeEWN-I1oV_STSDYn1IFDPWt_1FKiwhDph83XaGc0o0/edit?usp=sharing"",""งบพรบ!DE14"")"),0)</f>
        <v>0</v>
      </c>
      <c r="N269" s="93">
        <f ca="1">IFERROR(__xludf.DUMMYFUNCTION("IMPORTRANGE(""https://docs.google.com/spreadsheets/d/1MeEWN-I1oV_STSDYn1IFDPWt_1FKiwhDph83XaGc0o0/edit?usp=sharing"",""งบพรบ!DG14"")"),0)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1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343610</v>
      </c>
      <c r="M277" s="155">
        <f t="shared" ca="1" si="125"/>
        <v>303060</v>
      </c>
      <c r="N277" s="155">
        <f t="shared" ca="1" si="125"/>
        <v>115209</v>
      </c>
      <c r="O277" s="155">
        <f t="shared" ref="O277:O285" ca="1" si="126">IF(L277&gt;0,N277*100/L277,0)</f>
        <v>33.529000902185615</v>
      </c>
      <c r="P277" s="155">
        <f t="shared" ref="P277:P285" ca="1" si="127">IF(M277&gt;0,N277*100/M277,0)</f>
        <v>38.015244506038407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343610</v>
      </c>
      <c r="M279" s="93">
        <f t="shared" ca="1" si="128"/>
        <v>303060</v>
      </c>
      <c r="N279" s="93">
        <f t="shared" ca="1" si="128"/>
        <v>115209</v>
      </c>
      <c r="O279" s="93">
        <f t="shared" ca="1" si="126"/>
        <v>33.529000902185615</v>
      </c>
      <c r="P279" s="93">
        <f t="shared" ca="1" si="127"/>
        <v>38.015244506038407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29">L281+L282</f>
        <v>343610</v>
      </c>
      <c r="M280" s="466">
        <f t="shared" ca="1" si="129"/>
        <v>303060</v>
      </c>
      <c r="N280" s="466">
        <f t="shared" ca="1" si="129"/>
        <v>115209</v>
      </c>
      <c r="O280" s="466">
        <f t="shared" ca="1" si="126"/>
        <v>33.529000902185615</v>
      </c>
      <c r="P280" s="466">
        <f t="shared" ca="1" si="127"/>
        <v>38.015244506038407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IFERROR(__xludf.DUMMYFUNCTION("IMPORTRANGE(""https://docs.google.com/spreadsheets/d/1MeEWN-I1oV_STSDYn1IFDPWt_1FKiwhDph83XaGc0o0/edit?usp=sharing"",""งบพรบ!DI14"")"),343610)</f>
        <v>343610</v>
      </c>
      <c r="M282" s="93">
        <f ca="1">IFERROR(__xludf.DUMMYFUNCTION("IMPORTRANGE(""https://docs.google.com/spreadsheets/d/1MeEWN-I1oV_STSDYn1IFDPWt_1FKiwhDph83XaGc0o0/edit?usp=sharing"",""งบพรบ!DN14"")"),303060)</f>
        <v>303060</v>
      </c>
      <c r="N282" s="93">
        <f ca="1">IFERROR(__xludf.DUMMYFUNCTION("IMPORTRANGE(""https://docs.google.com/spreadsheets/d/1MeEWN-I1oV_STSDYn1IFDPWt_1FKiwhDph83XaGc0o0/edit?usp=sharing"",""งบพรบ!DP14"")"),115209)</f>
        <v>115209</v>
      </c>
      <c r="O282" s="93">
        <f t="shared" ca="1" si="126"/>
        <v>33.529000902185615</v>
      </c>
      <c r="P282" s="93">
        <f t="shared" ca="1" si="127"/>
        <v>38.015244506038407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IFERROR(__xludf.DUMMYFUNCTION("IMPORTRANGE(""https://docs.google.com/spreadsheets/d/1MeEWN-I1oV_STSDYn1IFDPWt_1FKiwhDph83XaGc0o0/edit?usp=sharing"",""งบพรบ!DL14"")"),0)</f>
        <v>0</v>
      </c>
      <c r="M285" s="93">
        <f ca="1">IFERROR(__xludf.DUMMYFUNCTION("IMPORTRANGE(""https://docs.google.com/spreadsheets/d/1MeEWN-I1oV_STSDYn1IFDPWt_1FKiwhDph83XaGc0o0/edit?usp=sharing"",""งบพรบ!DO14"")"),0)</f>
        <v>0</v>
      </c>
      <c r="N285" s="93">
        <f ca="1">IFERROR(__xludf.DUMMYFUNCTION("IMPORTRANGE(""https://docs.google.com/spreadsheets/d/1MeEWN-I1oV_STSDYn1IFDPWt_1FKiwhDph83XaGc0o0/edit?usp=sharing"",""งบพรบ!DQ14"")"),0)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IFERROR(__xludf.DUMMYFUNCTION("IMPORTRANGE(""https://docs.google.com/spreadsheets/d/1QqKyyYR6Q21VydFLVH3TRQUabQu_ym0Zz7PgGX0-kHA/edit?usp=sharing"",""แผน!EC14"")"),500)</f>
        <v>500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IFERROR(__xludf.DUMMYFUNCTION("IMPORTRANGE(""https://docs.google.com/spreadsheets/d/1QqKyyYR6Q21VydFLVH3TRQUabQu_ym0Zz7PgGX0-kHA/edit?usp=sharing"",""แผน!EB14"")"),50)</f>
        <v>50</v>
      </c>
      <c r="J288" s="648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IFERROR(__xludf.DUMMYFUNCTION("IMPORTRANGE(""https://docs.google.com/spreadsheets/d/1QqKyyYR6Q21VydFLVH3TRQUabQu_ym0Zz7PgGX0-kHA/edit?usp=sharing"",""แผน!EB14"")"),50)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IFERROR(__xludf.DUMMYFUNCTION("IMPORTRANGE(""https://docs.google.com/spreadsheets/d/1QqKyyYR6Q21VydFLVH3TRQUabQu_ym0Zz7PgGX0-kHA/edit?usp=sharing"",""แผน!EB14"")"),50)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IFERROR(__xludf.DUMMYFUNCTION("IMPORTRANGE(""https://docs.google.com/spreadsheets/d/1QqKyyYR6Q21VydFLVH3TRQUabQu_ym0Zz7PgGX0-kHA/edit?usp=sharing"",""แผน!EB14"")"),50)</f>
        <v>50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1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IFERROR(__xludf.DUMMYFUNCTION("IMPORTRANGE(""https://docs.google.com/spreadsheets/d/1QqKyyYR6Q21VydFLVH3TRQUabQu_ym0Zz7PgGX0-kHA/edit?usp=sharing"",""แผน!EB14"")"),50)</f>
        <v>50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1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6380</v>
      </c>
      <c r="O298" s="155">
        <f t="shared" ref="O298:O306" ca="1" si="136">IF(L298&gt;0,N298*100/L298,0)</f>
        <v>7.7427184466019421</v>
      </c>
      <c r="P298" s="155">
        <f t="shared" ref="P298:P306" ca="1" si="137">IF(M298&gt;0,N298*100/M298,0)</f>
        <v>9.9068322981366457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6380</v>
      </c>
      <c r="O300" s="93">
        <f t="shared" ca="1" si="136"/>
        <v>7.7427184466019421</v>
      </c>
      <c r="P300" s="93">
        <f t="shared" ca="1" si="137"/>
        <v>9.9068322981366457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64400</v>
      </c>
      <c r="N301" s="466">
        <f t="shared" ca="1" si="139"/>
        <v>6380</v>
      </c>
      <c r="O301" s="466">
        <f t="shared" ca="1" si="136"/>
        <v>7.7427184466019421</v>
      </c>
      <c r="P301" s="466">
        <f t="shared" ca="1" si="137"/>
        <v>9.9068322981366457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IFERROR(__xludf.DUMMYFUNCTION("IMPORTRANGE(""https://docs.google.com/spreadsheets/d/1MeEWN-I1oV_STSDYn1IFDPWt_1FKiwhDph83XaGc0o0/edit?usp=sharing"",""งบพรบ!DS14"")"),82400)</f>
        <v>82400</v>
      </c>
      <c r="M303" s="93">
        <f ca="1">IFERROR(__xludf.DUMMYFUNCTION("IMPORTRANGE(""https://docs.google.com/spreadsheets/d/1MeEWN-I1oV_STSDYn1IFDPWt_1FKiwhDph83XaGc0o0/edit?usp=sharing"",""งบพรบ!DX14"")"),64400)</f>
        <v>64400</v>
      </c>
      <c r="N303" s="93">
        <f ca="1">IFERROR(__xludf.DUMMYFUNCTION("IMPORTRANGE(""https://docs.google.com/spreadsheets/d/1MeEWN-I1oV_STSDYn1IFDPWt_1FKiwhDph83XaGc0o0/edit?usp=sharing"",""งบพรบ!DZ14"")"),6380)</f>
        <v>6380</v>
      </c>
      <c r="O303" s="93">
        <f t="shared" ca="1" si="136"/>
        <v>7.7427184466019421</v>
      </c>
      <c r="P303" s="93">
        <f t="shared" ca="1" si="137"/>
        <v>9.9068322981366457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IFERROR(__xludf.DUMMYFUNCTION("IMPORTRANGE(""https://docs.google.com/spreadsheets/d/1MeEWN-I1oV_STSDYn1IFDPWt_1FKiwhDph83XaGc0o0/edit?usp=sharing"",""งบพรบ!DV14"")"),0)</f>
        <v>0</v>
      </c>
      <c r="M306" s="93">
        <f ca="1">IFERROR(__xludf.DUMMYFUNCTION("IMPORTRANGE(""https://docs.google.com/spreadsheets/d/1MeEWN-I1oV_STSDYn1IFDPWt_1FKiwhDph83XaGc0o0/edit?usp=sharing"",""งบพรบ!DY14"")"),0)</f>
        <v>0</v>
      </c>
      <c r="N306" s="93">
        <f ca="1">IFERROR(__xludf.DUMMYFUNCTION("IMPORTRANGE(""https://docs.google.com/spreadsheets/d/1MeEWN-I1oV_STSDYn1IFDPWt_1FKiwhDph83XaGc0o0/edit?usp=sharing"",""งบพรบ!EA14"")"),0)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IFERROR(__xludf.DUMMYFUNCTION("IMPORTRANGE(""https://docs.google.com/spreadsheets/d/1QqKyyYR6Q21VydFLVH3TRQUabQu_ym0Zz7PgGX0-kHA/edit?usp=sharing"",""แผน!ED14"")"),20)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IFERROR(__xludf.DUMMYFUNCTION("IMPORTRANGE(""https://docs.google.com/spreadsheets/d/1QqKyyYR6Q21VydFLVH3TRQUabQu_ym0Zz7PgGX0-kHA/edit?usp=sharing"",""แผน!ED14"")"),20)</f>
        <v>20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IFERROR(__xludf.DUMMYFUNCTION("IMPORTRANGE(""https://docs.google.com/spreadsheets/d/1QqKyyYR6Q21VydFLVH3TRQUabQu_ym0Zz7PgGX0-kHA/edit?usp=sharing"",""แผน!ED14"")"),20)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IFERROR(__xludf.DUMMYFUNCTION("IMPORTRANGE(""https://docs.google.com/spreadsheets/d/1QqKyyYR6Q21VydFLVH3TRQUabQu_ym0Zz7PgGX0-kHA/edit?usp=sharing"",""แผน!EE14"")"),4)</f>
        <v>4</v>
      </c>
      <c r="J312" s="215">
        <v>4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81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296000</v>
      </c>
      <c r="M315" s="155">
        <f t="shared" ca="1" si="143"/>
        <v>218000</v>
      </c>
      <c r="N315" s="155">
        <f t="shared" ca="1" si="143"/>
        <v>86520</v>
      </c>
      <c r="O315" s="155">
        <f t="shared" ref="O315:O323" ca="1" si="144">IF(L315&gt;0,N315*100/L315,0)</f>
        <v>29.22972972972973</v>
      </c>
      <c r="P315" s="155">
        <f t="shared" ref="P315:P323" ca="1" si="145">IF(M315&gt;0,N315*100/M315,0)</f>
        <v>39.688073394495412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296000</v>
      </c>
      <c r="M317" s="93">
        <f t="shared" ca="1" si="146"/>
        <v>218000</v>
      </c>
      <c r="N317" s="93">
        <f t="shared" ca="1" si="146"/>
        <v>86520</v>
      </c>
      <c r="O317" s="93">
        <f t="shared" ca="1" si="144"/>
        <v>29.22972972972973</v>
      </c>
      <c r="P317" s="93">
        <f t="shared" ca="1" si="145"/>
        <v>39.688073394495412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7">L319+L320</f>
        <v>296000</v>
      </c>
      <c r="M318" s="466">
        <f t="shared" ca="1" si="147"/>
        <v>218000</v>
      </c>
      <c r="N318" s="466">
        <f t="shared" ca="1" si="147"/>
        <v>86520</v>
      </c>
      <c r="O318" s="466">
        <f t="shared" ca="1" si="144"/>
        <v>29.22972972972973</v>
      </c>
      <c r="P318" s="466">
        <f t="shared" ca="1" si="145"/>
        <v>39.688073394495412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IFERROR(__xludf.DUMMYFUNCTION("IMPORTRANGE(""https://docs.google.com/spreadsheets/d/1MeEWN-I1oV_STSDYn1IFDPWt_1FKiwhDph83XaGc0o0/edit?usp=sharing"",""งบพรบ!EC14"")"),296000)</f>
        <v>296000</v>
      </c>
      <c r="M320" s="93">
        <f ca="1">IFERROR(__xludf.DUMMYFUNCTION("IMPORTRANGE(""https://docs.google.com/spreadsheets/d/1MeEWN-I1oV_STSDYn1IFDPWt_1FKiwhDph83XaGc0o0/edit?usp=sharing"",""งบพรบ!EH14"")"),218000)</f>
        <v>218000</v>
      </c>
      <c r="N320" s="93">
        <f ca="1">IFERROR(__xludf.DUMMYFUNCTION("IMPORTRANGE(""https://docs.google.com/spreadsheets/d/1MeEWN-I1oV_STSDYn1IFDPWt_1FKiwhDph83XaGc0o0/edit?usp=sharing"",""งบพรบ!EJ14"")"),86520)</f>
        <v>86520</v>
      </c>
      <c r="O320" s="93">
        <f t="shared" ca="1" si="144"/>
        <v>29.22972972972973</v>
      </c>
      <c r="P320" s="93">
        <f t="shared" ca="1" si="145"/>
        <v>39.688073394495412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IFERROR(__xludf.DUMMYFUNCTION("IMPORTRANGE(""https://docs.google.com/spreadsheets/d/1MeEWN-I1oV_STSDYn1IFDPWt_1FKiwhDph83XaGc0o0/edit?usp=sharing"",""งบพรบ!EF14"")"),0)</f>
        <v>0</v>
      </c>
      <c r="M323" s="93">
        <f ca="1">IFERROR(__xludf.DUMMYFUNCTION("IMPORTRANGE(""https://docs.google.com/spreadsheets/d/1MeEWN-I1oV_STSDYn1IFDPWt_1FKiwhDph83XaGc0o0/edit?usp=sharing"",""งบพรบ!EI14"")"),0)</f>
        <v>0</v>
      </c>
      <c r="N323" s="93">
        <f ca="1">IFERROR(__xludf.DUMMYFUNCTION("IMPORTRANGE(""https://docs.google.com/spreadsheets/d/1MeEWN-I1oV_STSDYn1IFDPWt_1FKiwhDph83XaGc0o0/edit?usp=sharing"",""งบพรบ!EK14"")"),0)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26" ht="18.75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IFERROR(__xludf.DUMMYFUNCTION("IMPORTRANGE(""https://docs.google.com/spreadsheets/d/1QqKyyYR6Q21VydFLVH3TRQUabQu_ym0Zz7PgGX0-kHA/edit?usp=sharing"",""แผน!EF14"")"),1)</f>
        <v>1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IFERROR(__xludf.DUMMYFUNCTION("IMPORTRANGE(""https://docs.google.com/spreadsheets/d/1QqKyyYR6Q21VydFLVH3TRQUabQu_ym0Zz7PgGX0-kHA/edit?usp=sharing"",""แผน!EG14"")"),7500)</f>
        <v>7500</v>
      </c>
      <c r="J327" s="413">
        <f ca="1">J338+J341+J342+J343</f>
        <v>7443</v>
      </c>
      <c r="K327" s="414">
        <f ca="1">IF(I327&gt;0,J327*100/I327,0)</f>
        <v>99.24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1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136500</v>
      </c>
      <c r="N328" s="155">
        <f t="shared" ca="1" si="149"/>
        <v>53440</v>
      </c>
      <c r="O328" s="155">
        <f t="shared" ref="O328:O336" ca="1" si="150">IF(L328&gt;0,N328*100/L328,0)</f>
        <v>29.362637362637361</v>
      </c>
      <c r="P328" s="155">
        <f t="shared" ref="P328:P336" ca="1" si="151">IF(M328&gt;0,N328*100/M328,0)</f>
        <v>39.150183150183153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182000</v>
      </c>
      <c r="M330" s="93">
        <f t="shared" ca="1" si="152"/>
        <v>136500</v>
      </c>
      <c r="N330" s="93">
        <f t="shared" ca="1" si="152"/>
        <v>53440</v>
      </c>
      <c r="O330" s="93">
        <f t="shared" ca="1" si="150"/>
        <v>29.362637362637361</v>
      </c>
      <c r="P330" s="93">
        <f t="shared" ca="1" si="151"/>
        <v>39.150183150183153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136500</v>
      </c>
      <c r="N331" s="466">
        <f t="shared" ca="1" si="153"/>
        <v>53440</v>
      </c>
      <c r="O331" s="466">
        <f t="shared" ca="1" si="150"/>
        <v>29.362637362637361</v>
      </c>
      <c r="P331" s="466">
        <f t="shared" ca="1" si="151"/>
        <v>39.150183150183153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IFERROR(__xludf.DUMMYFUNCTION("IMPORTRANGE(""https://docs.google.com/spreadsheets/d/1MeEWN-I1oV_STSDYn1IFDPWt_1FKiwhDph83XaGc0o0/edit?usp=sharing"",""งบพรบ!EM14"")"),182000)</f>
        <v>182000</v>
      </c>
      <c r="M333" s="93">
        <f ca="1">IFERROR(__xludf.DUMMYFUNCTION("IMPORTRANGE(""https://docs.google.com/spreadsheets/d/1MeEWN-I1oV_STSDYn1IFDPWt_1FKiwhDph83XaGc0o0/edit?usp=sharing"",""งบพรบ!ER14"")"),136500)</f>
        <v>136500</v>
      </c>
      <c r="N333" s="93">
        <f ca="1">IFERROR(__xludf.DUMMYFUNCTION("IMPORTRANGE(""https://docs.google.com/spreadsheets/d/1MeEWN-I1oV_STSDYn1IFDPWt_1FKiwhDph83XaGc0o0/edit?usp=sharing"",""งบพรบ!ET14"")"),53440)</f>
        <v>53440</v>
      </c>
      <c r="O333" s="93">
        <f t="shared" ca="1" si="150"/>
        <v>29.362637362637361</v>
      </c>
      <c r="P333" s="93">
        <f t="shared" ca="1" si="151"/>
        <v>39.150183150183153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IFERROR(__xludf.DUMMYFUNCTION("IMPORTRANGE(""https://docs.google.com/spreadsheets/d/1MeEWN-I1oV_STSDYn1IFDPWt_1FKiwhDph83XaGc0o0/edit?usp=sharing"",""งบพรบ!EP14"")"),0)</f>
        <v>0</v>
      </c>
      <c r="M336" s="93">
        <f ca="1">IFERROR(__xludf.DUMMYFUNCTION("IMPORTRANGE(""https://docs.google.com/spreadsheets/d/1MeEWN-I1oV_STSDYn1IFDPWt_1FKiwhDph83XaGc0o0/edit?usp=sharing"",""งบพรบ!ES14"")"),0)</f>
        <v>0</v>
      </c>
      <c r="N336" s="93">
        <f ca="1">IFERROR(__xludf.DUMMYFUNCTION("IMPORTRANGE(""https://docs.google.com/spreadsheets/d/1MeEWN-I1oV_STSDYn1IFDPWt_1FKiwhDph83XaGc0o0/edit?usp=sharing"",""งบพรบ!EU14"")"),0)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IFERROR(__xludf.DUMMYFUNCTION("IMPORTRANGE(""https://docs.google.com/spreadsheets/d/1QqKyyYR6Q21VydFLVH3TRQUabQu_ym0Zz7PgGX0-kHA/edit?usp=sharing"",""แผน!EG14"")"),7500)</f>
        <v>7500</v>
      </c>
      <c r="J338" s="270">
        <f ca="1">IFERROR(__xludf.DUMMYFUNCTION("IMPORTRANGE(""https://docs.google.com/spreadsheets/d/1kVcqe37tkHyjCSG3S0O1AXqVkqjo8mSIZil3BcpIysc/edit?usp=sharing"",""ศูนย์!D14"")"),7364)</f>
        <v>7364</v>
      </c>
      <c r="K338" s="466">
        <f ca="1">IF(I338&gt;0,J338*100/I338,0)</f>
        <v>98.186666666666667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IFERROR(__xludf.DUMMYFUNCTION("IMPORTRANGE(""https://docs.google.com/spreadsheets/d/1QqKyyYR6Q21VydFLVH3TRQUabQu_ym0Zz7PgGX0-kHA/edit?usp=sharing"",""แผน!EH14"")"),7)</f>
        <v>7</v>
      </c>
      <c r="J340" s="270">
        <f ca="1">IFERROR(__xludf.DUMMYFUNCTION("IMPORTRANGE(""https://docs.google.com/spreadsheets/d/1kVcqe37tkHyjCSG3S0O1AXqVkqjo8mSIZil3BcpIysc/edit?usp=sharing"",""ศูนย์!E14"")"),3)</f>
        <v>3</v>
      </c>
      <c r="K340" s="466">
        <f ca="1">IF(I340&gt;0,J340*100/I340,0)</f>
        <v>42.857142857142854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IFERROR(__xludf.DUMMYFUNCTION("IMPORTRANGE(""https://docs.google.com/spreadsheets/d/1kVcqe37tkHyjCSG3S0O1AXqVkqjo8mSIZil3BcpIysc/edit?usp=sharing"",""ศูนย์!F14"")"),79)</f>
        <v>79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IFERROR(__xludf.DUMMYFUNCTION("IMPORTRANGE(""https://docs.google.com/spreadsheets/d/1kVcqe37tkHyjCSG3S0O1AXqVkqjo8mSIZil3BcpIysc/edit?usp=sharing"",""ศูนย์!G14"")"),0)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IFERROR(__xludf.DUMMYFUNCTION("IMPORTRANGE(""https://docs.google.com/spreadsheets/d/1kVcqe37tkHyjCSG3S0O1AXqVkqjo8mSIZil3BcpIysc/edit?usp=sharing"",""ศูนย์!H14"")"),0)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1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1622080</v>
      </c>
      <c r="M345" s="155">
        <f t="shared" ca="1" si="155"/>
        <v>1059160</v>
      </c>
      <c r="N345" s="155">
        <f t="shared" ca="1" si="155"/>
        <v>491940</v>
      </c>
      <c r="O345" s="155">
        <f t="shared" ref="O345:O353" ca="1" si="156">IF(L345&gt;0,N345*100/L345,0)</f>
        <v>30.327727362398896</v>
      </c>
      <c r="P345" s="155">
        <f t="shared" ref="P345:P353" ca="1" si="157">IF(M345&gt;0,N345*100/M345,0)</f>
        <v>46.446240416934174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1622080</v>
      </c>
      <c r="M347" s="93">
        <f t="shared" ca="1" si="158"/>
        <v>1059160</v>
      </c>
      <c r="N347" s="93">
        <f t="shared" ca="1" si="158"/>
        <v>491940</v>
      </c>
      <c r="O347" s="93">
        <f t="shared" ca="1" si="156"/>
        <v>30.327727362398896</v>
      </c>
      <c r="P347" s="93">
        <f t="shared" ca="1" si="157"/>
        <v>46.446240416934174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59">L349+L350</f>
        <v>1562080</v>
      </c>
      <c r="M348" s="466">
        <f t="shared" ca="1" si="159"/>
        <v>999560</v>
      </c>
      <c r="N348" s="466">
        <f t="shared" ca="1" si="159"/>
        <v>432340</v>
      </c>
      <c r="O348" s="466">
        <f t="shared" ca="1" si="156"/>
        <v>27.677199631260883</v>
      </c>
      <c r="P348" s="466">
        <f t="shared" ca="1" si="157"/>
        <v>43.253031333786865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IFERROR(__xludf.DUMMYFUNCTION("IMPORTRANGE(""https://docs.google.com/spreadsheets/d/1MeEWN-I1oV_STSDYn1IFDPWt_1FKiwhDph83XaGc0o0/edit?usp=sharing"",""งบพรบ!EW14"")"),1562080)</f>
        <v>1562080</v>
      </c>
      <c r="M350" s="93">
        <f ca="1">IFERROR(__xludf.DUMMYFUNCTION("IMPORTRANGE(""https://docs.google.com/spreadsheets/d/1MeEWN-I1oV_STSDYn1IFDPWt_1FKiwhDph83XaGc0o0/edit?usp=sharing"",""งบพรบ!FB14"")"),999560)</f>
        <v>999560</v>
      </c>
      <c r="N350" s="93">
        <f ca="1">IFERROR(__xludf.DUMMYFUNCTION("IMPORTRANGE(""https://docs.google.com/spreadsheets/d/1MeEWN-I1oV_STSDYn1IFDPWt_1FKiwhDph83XaGc0o0/edit?usp=sharing"",""งบพรบ!FD14"")"),432340)</f>
        <v>432340</v>
      </c>
      <c r="O350" s="93">
        <f t="shared" ca="1" si="156"/>
        <v>27.677199631260883</v>
      </c>
      <c r="P350" s="93">
        <f t="shared" ca="1" si="157"/>
        <v>43.253031333786865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60000</v>
      </c>
      <c r="M351" s="466">
        <f t="shared" ca="1" si="160"/>
        <v>59600</v>
      </c>
      <c r="N351" s="466">
        <f t="shared" ca="1" si="160"/>
        <v>59600</v>
      </c>
      <c r="O351" s="466">
        <f t="shared" ca="1" si="156"/>
        <v>99.333333333333329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IFERROR(__xludf.DUMMYFUNCTION("IMPORTRANGE(""https://docs.google.com/spreadsheets/d/1MeEWN-I1oV_STSDYn1IFDPWt_1FKiwhDph83XaGc0o0/edit?usp=sharing"",""งบพรบ!EZ14"")"),60000)</f>
        <v>60000</v>
      </c>
      <c r="M353" s="93">
        <f ca="1">IFERROR(__xludf.DUMMYFUNCTION("IMPORTRANGE(""https://docs.google.com/spreadsheets/d/1MeEWN-I1oV_STSDYn1IFDPWt_1FKiwhDph83XaGc0o0/edit?usp=sharing"",""งบพรบ!FC14"")"),59600)</f>
        <v>59600</v>
      </c>
      <c r="N353" s="93">
        <f ca="1">IFERROR(__xludf.DUMMYFUNCTION("IMPORTRANGE(""https://docs.google.com/spreadsheets/d/1MeEWN-I1oV_STSDYn1IFDPWt_1FKiwhDph83XaGc0o0/edit?usp=sharing"",""งบพรบ!FE14"")"),59600)</f>
        <v>59600</v>
      </c>
      <c r="O353" s="93">
        <f t="shared" ca="1" si="156"/>
        <v>99.333333333333329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IFERROR(__xludf.DUMMYFUNCTION("IMPORTRANGE(""https://docs.google.com/spreadsheets/d/1QqKyyYR6Q21VydFLVH3TRQUabQu_ym0Zz7PgGX0-kHA/edit?usp=sharing"",""แผน!EP14"")"),560)</f>
        <v>560</v>
      </c>
      <c r="J355" s="433">
        <f ca="1">J362</f>
        <v>3</v>
      </c>
      <c r="K355" s="434">
        <f ca="1">IF(I355&gt;0,J355*100/I355,0)</f>
        <v>0.5357142857142857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IFERROR(__xludf.DUMMYFUNCTION("IMPORTRANGE(""https://docs.google.com/spreadsheets/d/1XWAQStnk-4SwqDmLtmXYiTMKHgktTP8We1SCoS47DrQ/edit?usp=sharing"",""จัดที่ดิน!W14"")"),104)</f>
        <v>104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IFERROR(__xludf.DUMMYFUNCTION("IMPORTRANGE(""https://docs.google.com/spreadsheets/d/1QqKyyYR6Q21VydFLVH3TRQUabQu_ym0Zz7PgGX0-kHA/edit?usp=sharing"",""แผน!EO14"")"),5600)</f>
        <v>5600</v>
      </c>
      <c r="J359" s="270">
        <f ca="1">IFERROR(__xludf.DUMMYFUNCTION("IMPORTRANGE(""https://docs.google.com/spreadsheets/d/1XWAQStnk-4SwqDmLtmXYiTMKHgktTP8We1SCoS47DrQ/edit?usp=sharing"",""จัดที่ดิน!X14"")"),891.38)</f>
        <v>891.38</v>
      </c>
      <c r="K359" s="466">
        <f t="shared" ca="1" si="161"/>
        <v>15.9175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IFERROR(__xludf.DUMMYFUNCTION("IMPORTRANGE(""https://docs.google.com/spreadsheets/d/1QqKyyYR6Q21VydFLVH3TRQUabQu_ym0Zz7PgGX0-kHA/edit?usp=sharing"",""แผน!EP14"")"),560)</f>
        <v>560</v>
      </c>
      <c r="J360" s="270">
        <f ca="1">IFERROR(__xludf.DUMMYFUNCTION("IMPORTRANGE(""https://docs.google.com/spreadsheets/d/1XWAQStnk-4SwqDmLtmXYiTMKHgktTP8We1SCoS47DrQ/edit?usp=sharing"",""จัดที่ดิน!Y14"")"),3)</f>
        <v>3</v>
      </c>
      <c r="K360" s="466">
        <f t="shared" ca="1" si="161"/>
        <v>0.5357142857142857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IFERROR(__xludf.DUMMYFUNCTION("IMPORTRANGE(""https://docs.google.com/spreadsheets/d/1XWAQStnk-4SwqDmLtmXYiTMKHgktTP8We1SCoS47DrQ/edit?usp=sharing"",""จัดที่ดิน!Z14"")"),24.95)</f>
        <v>24.95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IFERROR(__xludf.DUMMYFUNCTION("IMPORTRANGE(""https://docs.google.com/spreadsheets/d/1QqKyyYR6Q21VydFLVH3TRQUabQu_ym0Zz7PgGX0-kHA/edit?usp=sharing"",""แผน!EP14"")"),560)</f>
        <v>560</v>
      </c>
      <c r="J362" s="270">
        <f ca="1">IFERROR(__xludf.DUMMYFUNCTION("IMPORTRANGE(""https://docs.google.com/spreadsheets/d/1XWAQStnk-4SwqDmLtmXYiTMKHgktTP8We1SCoS47DrQ/edit?usp=sharing"",""จัดที่ดิน!AA14"")"),3)</f>
        <v>3</v>
      </c>
      <c r="K362" s="466">
        <f t="shared" ca="1" si="161"/>
        <v>0.5357142857142857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IFERROR(__xludf.DUMMYFUNCTION("IMPORTRANGE(""https://docs.google.com/spreadsheets/d/1XWAQStnk-4SwqDmLtmXYiTMKHgktTP8We1SCoS47DrQ/edit?usp=sharing"",""จัดที่ดิน!AB14"")"),24.95)</f>
        <v>24.95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1110</v>
      </c>
      <c r="J364" s="447">
        <f t="shared" ca="1" si="162"/>
        <v>39</v>
      </c>
      <c r="K364" s="448">
        <f t="shared" ca="1" si="161"/>
        <v>3.5135135135135136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IFERROR(__xludf.DUMMYFUNCTION("IMPORTRANGE(""https://docs.google.com/spreadsheets/d/1QqKyyYR6Q21VydFLVH3TRQUabQu_ym0Zz7PgGX0-kHA/edit?usp=sharing"",""แผน!EJ14"")"),160)</f>
        <v>160</v>
      </c>
      <c r="J365" s="459">
        <f ca="1">J372</f>
        <v>3</v>
      </c>
      <c r="K365" s="460">
        <f t="shared" ca="1" si="161"/>
        <v>1.875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IFERROR(__xludf.DUMMYFUNCTION("IMPORTRANGE(""https://docs.google.com/spreadsheets/d/1XWAQStnk-4SwqDmLtmXYiTMKHgktTP8We1SCoS47DrQ/edit?usp=sharing"",""จัดที่ดิน!E14"")"),41)</f>
        <v>41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IFERROR(__xludf.DUMMYFUNCTION("IMPORTRANGE(""https://docs.google.com/spreadsheets/d/1QqKyyYR6Q21VydFLVH3TRQUabQu_ym0Zz7PgGX0-kHA/edit?usp=sharing"",""แผน!EI14"")"),1600)</f>
        <v>1600</v>
      </c>
      <c r="J369" s="270">
        <f ca="1">IFERROR(__xludf.DUMMYFUNCTION("IMPORTRANGE(""https://docs.google.com/spreadsheets/d/1XWAQStnk-4SwqDmLtmXYiTMKHgktTP8We1SCoS47DrQ/edit?usp=sharing"",""จัดที่ดิน!F14"")"),317.89)</f>
        <v>317.89</v>
      </c>
      <c r="K369" s="466">
        <f t="shared" ca="1" si="163"/>
        <v>19.868124999999999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IFERROR(__xludf.DUMMYFUNCTION("IMPORTRANGE(""https://docs.google.com/spreadsheets/d/1QqKyyYR6Q21VydFLVH3TRQUabQu_ym0Zz7PgGX0-kHA/edit?usp=sharing"",""แผน!EJ14"")"),160)</f>
        <v>160</v>
      </c>
      <c r="J370" s="270">
        <f ca="1">IFERROR(__xludf.DUMMYFUNCTION("IMPORTRANGE(""https://docs.google.com/spreadsheets/d/1XWAQStnk-4SwqDmLtmXYiTMKHgktTP8We1SCoS47DrQ/edit?usp=sharing"",""จัดที่ดิน!G14"")"),3)</f>
        <v>3</v>
      </c>
      <c r="K370" s="466">
        <f t="shared" ca="1" si="163"/>
        <v>1.875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IFERROR(__xludf.DUMMYFUNCTION("IMPORTRANGE(""https://docs.google.com/spreadsheets/d/1XWAQStnk-4SwqDmLtmXYiTMKHgktTP8We1SCoS47DrQ/edit?usp=sharing"",""จัดที่ดิน!H14"")"),24.95)</f>
        <v>24.95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IFERROR(__xludf.DUMMYFUNCTION("IMPORTRANGE(""https://docs.google.com/spreadsheets/d/1QqKyyYR6Q21VydFLVH3TRQUabQu_ym0Zz7PgGX0-kHA/edit?usp=sharing"",""แผน!EJ14"")"),160)</f>
        <v>160</v>
      </c>
      <c r="J372" s="270">
        <f ca="1">IFERROR(__xludf.DUMMYFUNCTION("IMPORTRANGE(""https://docs.google.com/spreadsheets/d/1XWAQStnk-4SwqDmLtmXYiTMKHgktTP8We1SCoS47DrQ/edit?usp=sharing"",""จัดที่ดิน!I14"")"),3)</f>
        <v>3</v>
      </c>
      <c r="K372" s="466">
        <f t="shared" ca="1" si="163"/>
        <v>1.875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IFERROR(__xludf.DUMMYFUNCTION("IMPORTRANGE(""https://docs.google.com/spreadsheets/d/1XWAQStnk-4SwqDmLtmXYiTMKHgktTP8We1SCoS47DrQ/edit?usp=sharing"",""จัดที่ดิน!J14"")"),24.95)</f>
        <v>24.95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IFERROR(__xludf.DUMMYFUNCTION("IMPORTRANGE(""https://docs.google.com/spreadsheets/d/1QqKyyYR6Q21VydFLVH3TRQUabQu_ym0Zz7PgGX0-kHA/edit?usp=sharing"",""แผน!EU14"")"),950)</f>
        <v>950</v>
      </c>
      <c r="J374" s="459">
        <f ca="1">J381</f>
        <v>36</v>
      </c>
      <c r="K374" s="460">
        <f t="shared" ca="1" si="163"/>
        <v>3.7894736842105261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IFERROR(__xludf.DUMMYFUNCTION("IMPORTRANGE(""https://docs.google.com/spreadsheets/d/1XWAQStnk-4SwqDmLtmXYiTMKHgktTP8We1SCoS47DrQ/edit?usp=sharing"",""จัดที่ดิน!AH14"")"),63)</f>
        <v>63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IFERROR(__xludf.DUMMYFUNCTION("IMPORTRANGE(""https://docs.google.com/spreadsheets/d/1QqKyyYR6Q21VydFLVH3TRQUabQu_ym0Zz7PgGX0-kHA/edit?usp=sharing"",""แผน!ET14"")"),4000)</f>
        <v>4000</v>
      </c>
      <c r="J378" s="270">
        <f ca="1">IFERROR(__xludf.DUMMYFUNCTION("IMPORTRANGE(""https://docs.google.com/spreadsheets/d/1XWAQStnk-4SwqDmLtmXYiTMKHgktTP8We1SCoS47DrQ/edit?usp=sharing"",""จัดที่ดิน!AI14"")"),573.49)</f>
        <v>573.49</v>
      </c>
      <c r="K378" s="466">
        <f t="shared" ca="1" si="164"/>
        <v>14.337249999999999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IFERROR(__xludf.DUMMYFUNCTION("IMPORTRANGE(""https://docs.google.com/spreadsheets/d/1QqKyyYR6Q21VydFLVH3TRQUabQu_ym0Zz7PgGX0-kHA/edit?usp=sharing"",""แผน!EU14"")"),950)</f>
        <v>950</v>
      </c>
      <c r="J379" s="270">
        <f ca="1">IFERROR(__xludf.DUMMYFUNCTION("IMPORTRANGE(""https://docs.google.com/spreadsheets/d/1XWAQStnk-4SwqDmLtmXYiTMKHgktTP8We1SCoS47DrQ/edit?usp=sharing"",""จัดที่ดิน!AJ14"")"),36)</f>
        <v>36</v>
      </c>
      <c r="K379" s="466">
        <f t="shared" ca="1" si="164"/>
        <v>3.7894736842105261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IFERROR(__xludf.DUMMYFUNCTION("IMPORTRANGE(""https://docs.google.com/spreadsheets/d/1XWAQStnk-4SwqDmLtmXYiTMKHgktTP8We1SCoS47DrQ/edit?usp=sharing"",""จัดที่ดิน!AK14"")"),520.49)</f>
        <v>520.49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IFERROR(__xludf.DUMMYFUNCTION("IMPORTRANGE(""https://docs.google.com/spreadsheets/d/1QqKyyYR6Q21VydFLVH3TRQUabQu_ym0Zz7PgGX0-kHA/edit?usp=sharing"",""แผน!EU14"")"),950)</f>
        <v>950</v>
      </c>
      <c r="J381" s="270">
        <f ca="1">IFERROR(__xludf.DUMMYFUNCTION("IMPORTRANGE(""https://docs.google.com/spreadsheets/d/1XWAQStnk-4SwqDmLtmXYiTMKHgktTP8We1SCoS47DrQ/edit?usp=sharing"",""จัดที่ดิน!AL14"")"),36)</f>
        <v>36</v>
      </c>
      <c r="K381" s="466">
        <f t="shared" ca="1" si="164"/>
        <v>3.7894736842105261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IFERROR(__xludf.DUMMYFUNCTION("IMPORTRANGE(""https://docs.google.com/spreadsheets/d/1XWAQStnk-4SwqDmLtmXYiTMKHgktTP8We1SCoS47DrQ/edit?usp=sharing"",""จัดที่ดิน!AM14"")"),520.49)</f>
        <v>520.49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IFERROR(__xludf.DUMMYFUNCTION("IMPORTRANGE(""https://docs.google.com/spreadsheets/d/1QqKyyYR6Q21VydFLVH3TRQUabQu_ym0Zz7PgGX0-kHA/edit?usp=sharing"",""แผน!EW14"")"),185)</f>
        <v>185</v>
      </c>
      <c r="J385" s="469">
        <f ca="1">IFERROR(__xludf.DUMMYFUNCTION("IMPORTRANGE(""https://docs.google.com/spreadsheets/d/1XWAQStnk-4SwqDmLtmXYiTMKHgktTP8We1SCoS47DrQ/edit?usp=sharing"",""จัดที่ดิน!AP14"")"),0)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1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IFERROR(__xludf.DUMMYFUNCTION("IMPORTRANGE(""https://docs.google.com/spreadsheets/d/1MeEWN-I1oV_STSDYn1IFDPWt_1FKiwhDph83XaGc0o0/edit?usp=sharing"",""งบพรบ!FG14"")"),0)</f>
        <v>0</v>
      </c>
      <c r="M394" s="93">
        <f ca="1">IFERROR(__xludf.DUMMYFUNCTION("IMPORTRANGE(""https://docs.google.com/spreadsheets/d/1MeEWN-I1oV_STSDYn1IFDPWt_1FKiwhDph83XaGc0o0/edit?usp=sharing"",""งบพรบ!FL14"")"),0)</f>
        <v>0</v>
      </c>
      <c r="N394" s="93">
        <f ca="1">IFERROR(__xludf.DUMMYFUNCTION("IMPORTRANGE(""https://docs.google.com/spreadsheets/d/1MeEWN-I1oV_STSDYn1IFDPWt_1FKiwhDph83XaGc0o0/edit?usp=sharing"",""งบพรบ!FN14"")"),0)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IFERROR(__xludf.DUMMYFUNCTION("IMPORTRANGE(""https://docs.google.com/spreadsheets/d/1MeEWN-I1oV_STSDYn1IFDPWt_1FKiwhDph83XaGc0o0/edit?usp=sharing"",""งบพรบ!FJ14"")"),0)</f>
        <v>0</v>
      </c>
      <c r="M397" s="93">
        <f ca="1">IFERROR(__xludf.DUMMYFUNCTION("IMPORTRANGE(""https://docs.google.com/spreadsheets/d/1MeEWN-I1oV_STSDYn1IFDPWt_1FKiwhDph83XaGc0o0/edit?usp=sharing"",""งบพรบ!FM14"")"),0)</f>
        <v>0</v>
      </c>
      <c r="N397" s="93">
        <f ca="1">IFERROR(__xludf.DUMMYFUNCTION("IMPORTRANGE(""https://docs.google.com/spreadsheets/d/1MeEWN-I1oV_STSDYn1IFDPWt_1FKiwhDph83XaGc0o0/edit?usp=sharing"",""งบพรบ!FO14"")"),0)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1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IFERROR(__xludf.DUMMYFUNCTION("IMPORTRANGE(""https://docs.google.com/spreadsheets/d/1MeEWN-I1oV_STSDYn1IFDPWt_1FKiwhDph83XaGc0o0/edit?usp=sharing"",""งบพรบ!FQ14"")"),0)</f>
        <v>0</v>
      </c>
      <c r="M407" s="93">
        <f ca="1">IFERROR(__xludf.DUMMYFUNCTION("IMPORTRANGE(""https://docs.google.com/spreadsheets/d/1MeEWN-I1oV_STSDYn1IFDPWt_1FKiwhDph83XaGc0o0/edit?usp=sharing"",""งบพรบ!FV14"")"),0)</f>
        <v>0</v>
      </c>
      <c r="N407" s="93">
        <f ca="1">IFERROR(__xludf.DUMMYFUNCTION("IMPORTRANGE(""https://docs.google.com/spreadsheets/d/1MeEWN-I1oV_STSDYn1IFDPWt_1FKiwhDph83XaGc0o0/edit?usp=sharing"",""งบพรบ!FX14"")"),0)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IFERROR(__xludf.DUMMYFUNCTION("IMPORTRANGE(""https://docs.google.com/spreadsheets/d/1MeEWN-I1oV_STSDYn1IFDPWt_1FKiwhDph83XaGc0o0/edit?usp=sharing"",""งบพรบ!FT14"")"),0)</f>
        <v>0</v>
      </c>
      <c r="M410" s="93">
        <f ca="1">IFERROR(__xludf.DUMMYFUNCTION("IMPORTRANGE(""https://docs.google.com/spreadsheets/d/1MeEWN-I1oV_STSDYn1IFDPWt_1FKiwhDph83XaGc0o0/edit?usp=sharing"",""งบพรบ!FW14"")"),0)</f>
        <v>0</v>
      </c>
      <c r="N410" s="93">
        <f ca="1">IFERROR(__xludf.DUMMYFUNCTION("IMPORTRANGE(""https://docs.google.com/spreadsheets/d/1MeEWN-I1oV_STSDYn1IFDPWt_1FKiwhDph83XaGc0o0/edit?usp=sharing"",""งบพรบ!FY14"")"),0)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2993639</v>
      </c>
      <c r="M414" s="517">
        <f t="shared" si="181"/>
        <v>0</v>
      </c>
      <c r="N414" s="517">
        <f t="shared" si="181"/>
        <v>972627.88</v>
      </c>
      <c r="O414" s="517">
        <f ca="1">IF(L414&gt;0,N414*100/L414,0)</f>
        <v>32.489818578659616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60</v>
      </c>
      <c r="J417" s="533">
        <f t="shared" ca="1" si="182"/>
        <v>60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2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188600</v>
      </c>
      <c r="M419" s="155">
        <f t="shared" si="184"/>
        <v>0</v>
      </c>
      <c r="N419" s="155">
        <f t="shared" si="184"/>
        <v>169620</v>
      </c>
      <c r="O419" s="155">
        <f t="shared" ref="O419:O424" ca="1" si="185">IF(L419&gt;0,N419*100/L419,0)</f>
        <v>89.936373276776251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188600</v>
      </c>
      <c r="M421" s="93">
        <f t="shared" si="187"/>
        <v>0</v>
      </c>
      <c r="N421" s="93">
        <f t="shared" si="187"/>
        <v>169620</v>
      </c>
      <c r="O421" s="93">
        <f t="shared" ca="1" si="185"/>
        <v>89.936373276776251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8">L423+L424</f>
        <v>188600</v>
      </c>
      <c r="M422" s="466">
        <f t="shared" si="188"/>
        <v>0</v>
      </c>
      <c r="N422" s="466">
        <f t="shared" si="188"/>
        <v>169620</v>
      </c>
      <c r="O422" s="466">
        <f t="shared" ca="1" si="185"/>
        <v>89.936373276776251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IFERROR(__xludf.DUMMYFUNCTION("IMPORTRANGE(""https://docs.google.com/spreadsheets/d/1QqKyyYR6Q21VydFLVH3TRQUabQu_ym0Zz7PgGX0-kHA/edit?usp=sharing"",""แผน!EY14"")"),188600)</f>
        <v>188600</v>
      </c>
      <c r="M424" s="93">
        <v>0</v>
      </c>
      <c r="N424" s="93">
        <f>N425+N426+N427+N428</f>
        <v>169620</v>
      </c>
      <c r="O424" s="93">
        <f t="shared" ca="1" si="185"/>
        <v>89.936373276776251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v>158340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v>11280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60</v>
      </c>
      <c r="J433" s="648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t="shared" ref="I434:J434" ca="1" si="193">I438+I440</f>
        <v>2</v>
      </c>
      <c r="J434" s="648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IFERROR(__xludf.DUMMYFUNCTION("IMPORTRANGE(""https://docs.google.com/spreadsheets/d/1QqKyyYR6Q21VydFLVH3TRQUabQu_ym0Zz7PgGX0-kHA/edit?usp=sharing"",""แผน!FC14"")"),60)</f>
        <v>60</v>
      </c>
      <c r="J435" s="549">
        <v>60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IFERROR(__xludf.DUMMYFUNCTION("IMPORTRANGE(""https://docs.google.com/spreadsheets/d/1QqKyyYR6Q21VydFLVH3TRQUabQu_ym0Zz7PgGX0-kHA/edit?usp=sharing"",""แผน!FD14"")"),40)</f>
        <v>40</v>
      </c>
      <c r="J437" s="549">
        <v>40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IFERROR(__xludf.DUMMYFUNCTION("IMPORTRANGE(""https://docs.google.com/spreadsheets/d/1QqKyyYR6Q21VydFLVH3TRQUabQu_ym0Zz7PgGX0-kHA/edit?usp=sharing"",""แผน!FE14"")"),1)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IFERROR(__xludf.DUMMYFUNCTION("IMPORTRANGE(""https://docs.google.com/spreadsheets/d/1QqKyyYR6Q21VydFLVH3TRQUabQu_ym0Zz7PgGX0-kHA/edit?usp=sharing"",""แผน!FF14"")"),20)</f>
        <v>20</v>
      </c>
      <c r="J439" s="549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IFERROR(__xludf.DUMMYFUNCTION("IMPORTRANGE(""https://docs.google.com/spreadsheets/d/1QqKyyYR6Q21VydFLVH3TRQUabQu_ym0Zz7PgGX0-kHA/edit?usp=sharing"",""แผน!FG14"")"),1)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IFERROR(__xludf.DUMMYFUNCTION("IMPORTRANGE(""https://docs.google.com/spreadsheets/d/1QqKyyYR6Q21VydFLVH3TRQUabQu_ym0Zz7PgGX0-kHA/edit?usp=sharing"",""แผน!FH14"")"),0)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0</v>
      </c>
      <c r="J442" s="555">
        <f t="shared" si="195"/>
        <v>0</v>
      </c>
      <c r="K442" s="556">
        <f t="shared" ca="1" si="194"/>
        <v>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 hidden="1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 hidden="1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 hidden="1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1">L448+L449</f>
        <v>0</v>
      </c>
      <c r="M447" s="466">
        <f t="shared" si="201"/>
        <v>0</v>
      </c>
      <c r="N447" s="466">
        <f t="shared" si="201"/>
        <v>0</v>
      </c>
      <c r="O447" s="466">
        <f t="shared" ca="1" si="198"/>
        <v>0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IFERROR(__xludf.DUMMYFUNCTION("IMPORTRANGE(""https://docs.google.com/spreadsheets/d/1QqKyyYR6Q21VydFLVH3TRQUabQu_ym0Zz7PgGX0-kHA/edit?usp=sharing"",""แผน!FJ14"")"),0)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 hidden="1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v>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 hidden="1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 hidden="1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v>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 hidden="1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v>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 hidden="1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 hidden="1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 hidden="1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IFERROR(__xludf.DUMMYFUNCTION("IMPORTRANGE(""https://docs.google.com/spreadsheets/d/1QqKyyYR6Q21VydFLVH3TRQUabQu_ym0Zz7PgGX0-kHA/edit?usp=sharing"",""แผน!FN14"")"),0)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 hidden="1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 hidden="1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IFERROR(__xludf.DUMMYFUNCTION("IMPORTRANGE(""https://docs.google.com/spreadsheets/d/1QqKyyYR6Q21VydFLVH3TRQUabQu_ym0Zz7PgGX0-kHA/edit?usp=sharing"",""แผน!FO14"")"),0)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 hidden="1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IFERROR(__xludf.DUMMYFUNCTION("IMPORTRANGE(""https://docs.google.com/spreadsheets/d/1QqKyyYR6Q21VydFLVH3TRQUabQu_ym0Zz7PgGX0-kHA/edit?usp=sharing"",""แผน!FO14"")"),0)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 hidden="1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IFERROR(__xludf.DUMMYFUNCTION("IMPORTRANGE(""https://docs.google.com/spreadsheets/d/1QqKyyYR6Q21VydFLVH3TRQUabQu_ym0Zz7PgGX0-kHA/edit?usp=sharing"",""แผน!FN14"")"),0)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IFERROR(__xludf.DUMMYFUNCTION("IMPORTRANGE(""https://docs.google.com/spreadsheets/d/1QqKyyYR6Q21VydFLVH3TRQUabQu_ym0Zz7PgGX0-kHA/edit?usp=sharing"",""แผน!FX14"")"),131)</f>
        <v>131</v>
      </c>
      <c r="J465" s="555">
        <f>J485+J489+J492</f>
        <v>118</v>
      </c>
      <c r="K465" s="556">
        <f t="shared" ref="K465:K466" ca="1" si="205">IF(I465&gt;0,J465*100/I465,0)</f>
        <v>90.07633587786259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IFERROR(__xludf.DUMMYFUNCTION("IMPORTRANGE(""https://docs.google.com/spreadsheets/d/1QqKyyYR6Q21VydFLVH3TRQUabQu_ym0Zz7PgGX0-kHA/edit?usp=sharing"",""แผน!FW14"")"),1300)</f>
        <v>1300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1167958</v>
      </c>
      <c r="M467" s="195">
        <f t="shared" si="206"/>
        <v>0</v>
      </c>
      <c r="N467" s="195">
        <f t="shared" si="206"/>
        <v>203691</v>
      </c>
      <c r="O467" s="195">
        <f t="shared" ref="O467:O472" ca="1" si="207">IF(L467&gt;0,N467*100/L467,0)</f>
        <v>17.439925065798597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09"/>
        <v>1167958</v>
      </c>
      <c r="M469" s="93">
        <f t="shared" si="209"/>
        <v>0</v>
      </c>
      <c r="N469" s="93">
        <f t="shared" si="209"/>
        <v>203691</v>
      </c>
      <c r="O469" s="93">
        <f t="shared" ca="1" si="207"/>
        <v>17.439925065798597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0">L471+L472</f>
        <v>1167958</v>
      </c>
      <c r="M470" s="466">
        <f t="shared" si="210"/>
        <v>0</v>
      </c>
      <c r="N470" s="466">
        <f t="shared" si="210"/>
        <v>203691</v>
      </c>
      <c r="O470" s="466">
        <f t="shared" ca="1" si="207"/>
        <v>17.439925065798597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IFERROR(__xludf.DUMMYFUNCTION("IMPORTRANGE(""https://docs.google.com/spreadsheets/d/1QqKyyYR6Q21VydFLVH3TRQUabQu_ym0Zz7PgGX0-kHA/edit?usp=sharing"",""แผน!FS14"")"),1167958)</f>
        <v>1167958</v>
      </c>
      <c r="M472" s="93">
        <v>0</v>
      </c>
      <c r="N472" s="93">
        <f>N473+N474+N475+N476</f>
        <v>203691</v>
      </c>
      <c r="O472" s="93">
        <f t="shared" ca="1" si="207"/>
        <v>17.439925065798597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>
        <v>152451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v>39000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v>12240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IFERROR(__xludf.DUMMYFUNCTION("IMPORTRANGE(""https://docs.google.com/spreadsheets/d/1QqKyyYR6Q21VydFLVH3TRQUabQu_ym0Zz7PgGX0-kHA/edit?usp=sharing"",""แผน!FY14"")"),1170)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IFERROR(__xludf.DUMMYFUNCTION("IMPORTRANGE(""https://docs.google.com/spreadsheets/d/1QqKyyYR6Q21VydFLVH3TRQUabQu_ym0Zz7PgGX0-kHA/edit?usp=sharing"",""แผน!FZ14"")"),117)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IFERROR(__xludf.DUMMYFUNCTION("IMPORTRANGE(""https://docs.google.com/spreadsheets/d/1QqKyyYR6Q21VydFLVH3TRQUabQu_ym0Zz7PgGX0-kHA/edit?usp=sharing"",""แผน!GA14"")"),130)</f>
        <v>130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IFERROR(__xludf.DUMMYFUNCTION("IMPORTRANGE(""https://docs.google.com/spreadsheets/d/1QqKyyYR6Q21VydFLVH3TRQUabQu_ym0Zz7PgGX0-kHA/edit?usp=sharing"",""แผน!GB14"")"),13)</f>
        <v>13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IFERROR(__xludf.DUMMYFUNCTION("IMPORTRANGE(""https://docs.google.com/spreadsheets/d/1QqKyyYR6Q21VydFLVH3TRQUabQu_ym0Zz7PgGX0-kHA/edit?usp=sharing"",""แผน!GC14"")"),1)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IFERROR(__xludf.DUMMYFUNCTION("IMPORTRANGE(""https://docs.google.com/spreadsheets/d/1QqKyyYR6Q21VydFLVH3TRQUabQu_ym0Zz7PgGX0-kHA/edit?usp=sharing"",""แผน!FY14"")"),1170)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IFERROR(__xludf.DUMMYFUNCTION("IMPORTRANGE(""https://docs.google.com/spreadsheets/d/1QqKyyYR6Q21VydFLVH3TRQUabQu_ym0Zz7PgGX0-kHA/edit?usp=sharing"",""แผน!GA14"")"),130)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6">L503+L504</f>
        <v>0</v>
      </c>
      <c r="M502" s="614">
        <f t="shared" si="216"/>
        <v>0</v>
      </c>
      <c r="N502" s="614">
        <f t="shared" si="216"/>
        <v>0</v>
      </c>
      <c r="O502" s="614">
        <f t="shared" ref="O502:O507" si="217">IF(L502&gt;0,N502*100/L502,0)</f>
        <v>0</v>
      </c>
      <c r="P502" s="614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6"/>
      <c r="D505" s="615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615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 hidden="1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5">I537</f>
        <v>0</v>
      </c>
      <c r="J522" s="675">
        <f t="shared" ca="1" si="225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IFERROR(__xludf.DUMMYFUNCTION("IMPORTRANGE(""https://docs.google.com/spreadsheets/d/1QqKyyYR6Q21VydFLVH3TRQUabQu_ym0Zz7PgGX0-kHA/edit?usp=sharing"",""แผน!GQ14"")"),0)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IFERROR(__xludf.DUMMYFUNCTION("IMPORTRANGE(""https://docs.google.com/spreadsheets/d/1QqKyyYR6Q21VydFLVH3TRQUabQu_ym0Zz7PgGX0-kHA/edit?usp=sharing"",""แผน!GU14"")"),0)</f>
        <v>0</v>
      </c>
      <c r="J537" s="648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 hidden="1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IFERROR(__xludf.DUMMYFUNCTION("IMPORTRANGE(""https://docs.google.com/spreadsheets/d/1QqKyyYR6Q21VydFLVH3TRQUabQu_ym0Zz7PgGX0-kHA/edit?usp=sharing"",""แผน!GV14"")"),0)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 hidden="1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IFERROR(__xludf.DUMMYFUNCTION("IMPORTRANGE(""https://docs.google.com/spreadsheets/d/1QqKyyYR6Q21VydFLVH3TRQUabQu_ym0Zz7PgGX0-kHA/edit?usp=sharing"",""แผน!GW14"")"),0)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 hidden="1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IFERROR(__xludf.DUMMYFUNCTION("IMPORTRANGE(""https://docs.google.com/spreadsheets/d/1QqKyyYR6Q21VydFLVH3TRQUabQu_ym0Zz7PgGX0-kHA/edit?usp=sharing"",""แผน!GX14"")"),0)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 hidden="1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IFERROR(__xludf.DUMMYFUNCTION("IMPORTRANGE(""https://docs.google.com/spreadsheets/d/1QqKyyYR6Q21VydFLVH3TRQUabQu_ym0Zz7PgGX0-kHA/edit?usp=sharing"",""แผน!GY14"")"),0)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 hidden="1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IFERROR(__xludf.DUMMYFUNCTION("IMPORTRANGE(""https://docs.google.com/spreadsheets/d/1QqKyyYR6Q21VydFLVH3TRQUabQu_ym0Zz7PgGX0-kHA/edit?usp=sharing"",""แผน!GZ14"")"),0)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5">I559</f>
        <v>156826</v>
      </c>
      <c r="J543" s="654">
        <f t="shared" si="235"/>
        <v>0</v>
      </c>
      <c r="K543" s="655">
        <f t="shared" ca="1" si="234"/>
        <v>0</v>
      </c>
      <c r="L543" s="637"/>
      <c r="M543" s="637"/>
      <c r="N543" s="637"/>
      <c r="O543" s="637"/>
      <c r="P543" s="637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6">L545+L546</f>
        <v>787961</v>
      </c>
      <c r="M544" s="155">
        <f t="shared" si="236"/>
        <v>0</v>
      </c>
      <c r="N544" s="155">
        <f t="shared" si="236"/>
        <v>226190</v>
      </c>
      <c r="O544" s="155">
        <f t="shared" ref="O544:O549" ca="1" si="237">IF(L544&gt;0,N544*100/L544,0)</f>
        <v>28.705735436144682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39"/>
        <v>787961</v>
      </c>
      <c r="M546" s="93">
        <f t="shared" si="240"/>
        <v>0</v>
      </c>
      <c r="N546" s="93">
        <f t="shared" si="240"/>
        <v>226190</v>
      </c>
      <c r="O546" s="93">
        <f t="shared" ca="1" si="237"/>
        <v>28.705735436144682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1">L548+L549</f>
        <v>787961</v>
      </c>
      <c r="M547" s="466">
        <f t="shared" si="241"/>
        <v>0</v>
      </c>
      <c r="N547" s="466">
        <f t="shared" si="241"/>
        <v>226190</v>
      </c>
      <c r="O547" s="466">
        <f t="shared" ca="1" si="237"/>
        <v>28.705735436144682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IFERROR(__xludf.DUMMYFUNCTION("IMPORTRANGE(""https://docs.google.com/spreadsheets/d/1QqKyyYR6Q21VydFLVH3TRQUabQu_ym0Zz7PgGX0-kHA/edit?usp=sharing"",""แผน!HB14"")"),787961)</f>
        <v>787961</v>
      </c>
      <c r="M549" s="93">
        <v>0</v>
      </c>
      <c r="N549" s="93">
        <f>N550+N551+N552+N553+N554</f>
        <v>226190</v>
      </c>
      <c r="O549" s="93">
        <f t="shared" ca="1" si="237"/>
        <v>28.705735436144682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801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801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801">
        <v>39000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801">
        <f>64530+51260+23400+48000</f>
        <v>187190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5">I576</f>
        <v>156826</v>
      </c>
      <c r="J559" s="675">
        <f t="shared" si="245"/>
        <v>0</v>
      </c>
      <c r="K559" s="644">
        <f t="shared" ref="K559:K561" ca="1" si="246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9"/>
      <c r="H560" s="734" t="s">
        <v>46</v>
      </c>
      <c r="I560" s="193">
        <f ca="1">IFERROR(__xludf.DUMMYFUNCTION("IMPORTRANGE(""https://docs.google.com/spreadsheets/d/1QqKyyYR6Q21VydFLVH3TRQUabQu_ym0Zz7PgGX0-kHA/edit?usp=sharing"",""แผน!HH14"")"),156826)</f>
        <v>156826</v>
      </c>
      <c r="J560" s="193">
        <f t="shared" ref="J560:J561" si="247">J562+J564+J566</f>
        <v>0</v>
      </c>
      <c r="K560" s="380">
        <f t="shared" ca="1" si="246"/>
        <v>0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9"/>
      <c r="H561" s="734" t="s">
        <v>34</v>
      </c>
      <c r="I561" s="193">
        <f ca="1">IFERROR(__xludf.DUMMYFUNCTION("IMPORTRANGE(""https://docs.google.com/spreadsheets/d/1QqKyyYR6Q21VydFLVH3TRQUabQu_ym0Zz7PgGX0-kHA/edit?usp=sharing"",""แผน!HG14"")"),12334)</f>
        <v>12334</v>
      </c>
      <c r="J561" s="193">
        <f t="shared" si="247"/>
        <v>0</v>
      </c>
      <c r="K561" s="380">
        <f t="shared" ca="1" si="246"/>
        <v>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9"/>
      <c r="H568" s="734" t="s">
        <v>46</v>
      </c>
      <c r="I568" s="193">
        <f ca="1">IFERROR(__xludf.DUMMYFUNCTION("IMPORTRANGE(""https://docs.google.com/spreadsheets/d/1QqKyyYR6Q21VydFLVH3TRQUabQu_ym0Zz7PgGX0-kHA/edit?usp=sharing"",""แผน!HH14"")"),156826)</f>
        <v>156826</v>
      </c>
      <c r="J568" s="648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9"/>
      <c r="H569" s="734" t="s">
        <v>34</v>
      </c>
      <c r="I569" s="193">
        <f ca="1">IFERROR(__xludf.DUMMYFUNCTION("IMPORTRANGE(""https://docs.google.com/spreadsheets/d/1QqKyyYR6Q21VydFLVH3TRQUabQu_ym0Zz7PgGX0-kHA/edit?usp=sharing"",""แผน!HG14"")"),12334)</f>
        <v>12334</v>
      </c>
      <c r="J569" s="648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9"/>
      <c r="H576" s="734" t="s">
        <v>46</v>
      </c>
      <c r="I576" s="193">
        <f ca="1">IFERROR(__xludf.DUMMYFUNCTION("IMPORTRANGE(""https://docs.google.com/spreadsheets/d/1QqKyyYR6Q21VydFLVH3TRQUabQu_ym0Zz7PgGX0-kHA/edit?usp=sharing"",""แผน!HH14"")"),156826)</f>
        <v>156826</v>
      </c>
      <c r="J576" s="648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9"/>
      <c r="H577" s="734" t="s">
        <v>34</v>
      </c>
      <c r="I577" s="193">
        <f ca="1">IFERROR(__xludf.DUMMYFUNCTION("IMPORTRANGE(""https://docs.google.com/spreadsheets/d/1QqKyyYR6Q21VydFLVH3TRQUabQu_ym0Zz7PgGX0-kHA/edit?usp=sharing"",""แผน!HG14"")"),12334)</f>
        <v>12334</v>
      </c>
      <c r="J577" s="648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3">I593</f>
        <v>6645.84</v>
      </c>
      <c r="J592" s="675">
        <f t="shared" si="253"/>
        <v>0</v>
      </c>
      <c r="K592" s="644">
        <f t="shared" ref="K592:K594" ca="1" si="254">IF(I592&gt;0,J592*100/I592,0)</f>
        <v>0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IFERROR(__xludf.DUMMYFUNCTION("IMPORTRANGE(""https://docs.google.com/spreadsheets/d/1QqKyyYR6Q21VydFLVH3TRQUabQu_ym0Zz7PgGX0-kHA/edit?usp=sharing"",""แผน!HJ14"")"),6645.84)</f>
        <v>6645.84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IFERROR(__xludf.DUMMYFUNCTION("IMPORTRANGE(""https://docs.google.com/spreadsheets/d/1QqKyyYR6Q21VydFLVH3TRQUabQu_ym0Zz7PgGX0-kHA/edit?usp=sharing"",""แผน!HI14"")"),390)</f>
        <v>390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 hidden="1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8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59">J614+J616</f>
        <v>0</v>
      </c>
      <c r="K612" s="684">
        <f t="shared" si="258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59"/>
        <v>0</v>
      </c>
      <c r="K613" s="684">
        <f t="shared" si="258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 hidden="1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IFERROR(__xludf.DUMMYFUNCTION("IMPORTRANGE(""https://docs.google.com/spreadsheets/d/1QqKyyYR6Q21VydFLVH3TRQUabQu_ym0Zz7PgGX0-kHA/edit?usp=sharing"",""แผน!HL14"")"),0)</f>
        <v>0</v>
      </c>
      <c r="J620" s="695">
        <f t="shared" ref="J620:J621" si="260">J622+J624+J626</f>
        <v>0</v>
      </c>
      <c r="K620" s="696">
        <f t="shared" ref="K620:K621" ca="1" si="261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 hidden="1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IFERROR(__xludf.DUMMYFUNCTION("IMPORTRANGE(""https://docs.google.com/spreadsheets/d/1QqKyyYR6Q21VydFLVH3TRQUabQu_ym0Zz7PgGX0-kHA/edit?usp=sharing"",""แผน!HK14"")"),0)</f>
        <v>0</v>
      </c>
      <c r="J621" s="695">
        <f t="shared" si="260"/>
        <v>0</v>
      </c>
      <c r="K621" s="696">
        <f t="shared" ca="1" si="261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 hidden="1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 hidden="1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 hidden="1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 hidden="1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 hidden="1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 hidden="1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262">I651</f>
        <v>350</v>
      </c>
      <c r="J628" s="708">
        <f t="shared" ca="1" si="262"/>
        <v>0</v>
      </c>
      <c r="K628" s="709">
        <f ca="1">IF(I628&gt;0,J628*100/I628,0)</f>
        <v>0</v>
      </c>
      <c r="L628" s="710"/>
      <c r="M628" s="710"/>
      <c r="N628" s="710"/>
      <c r="O628" s="710"/>
      <c r="P628" s="710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509340</v>
      </c>
      <c r="M629" s="195">
        <f t="shared" si="263"/>
        <v>0</v>
      </c>
      <c r="N629" s="195">
        <f t="shared" si="263"/>
        <v>257070</v>
      </c>
      <c r="O629" s="195">
        <f t="shared" ref="O629:O634" ca="1" si="264">IF(L629&gt;0,N629*100/L629,0)</f>
        <v>50.471198020968309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6"/>
        <v>509340</v>
      </c>
      <c r="M631" s="93">
        <f t="shared" si="266"/>
        <v>0</v>
      </c>
      <c r="N631" s="93">
        <f t="shared" si="266"/>
        <v>257070</v>
      </c>
      <c r="O631" s="93">
        <f t="shared" ca="1" si="264"/>
        <v>50.471198020968309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7">L633+L634</f>
        <v>509340</v>
      </c>
      <c r="M632" s="466">
        <f t="shared" si="267"/>
        <v>0</v>
      </c>
      <c r="N632" s="466">
        <f t="shared" si="267"/>
        <v>257070</v>
      </c>
      <c r="O632" s="466">
        <f t="shared" ca="1" si="264"/>
        <v>50.471198020968309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IFERROR(__xludf.DUMMYFUNCTION("IMPORTRANGE(""https://docs.google.com/spreadsheets/d/1QqKyyYR6Q21VydFLVH3TRQUabQu_ym0Zz7PgGX0-kHA/edit?usp=sharing"",""แผน!HN14"")"),509340)</f>
        <v>509340</v>
      </c>
      <c r="M634" s="93">
        <v>0</v>
      </c>
      <c r="N634" s="93">
        <f>N635+N636+N637+N638</f>
        <v>257070</v>
      </c>
      <c r="O634" s="93">
        <f t="shared" ca="1" si="264"/>
        <v>50.471198020968309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39000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f>138520+27200+52350</f>
        <v>218070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IFERROR(__xludf.DUMMYFUNCTION("IMPORTRANGE(""https://docs.google.com/spreadsheets/d/1QqKyyYR6Q21VydFLVH3TRQUabQu_ym0Zz7PgGX0-kHA/edit?usp=sharing"",""แผน!HR14"")"),0)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IFERROR(__xludf.DUMMYFUNCTION("IMPORTRANGE(""https://docs.google.com/spreadsheets/d/1QqKyyYR6Q21VydFLVH3TRQUabQu_ym0Zz7PgGX0-kHA/edit?usp=sharing"",""แผน!HR14"")"),0)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IFERROR(__xludf.DUMMYFUNCTION("IMPORTRANGE(""https://docs.google.com/spreadsheets/d/1XWAQStnk-4SwqDmLtmXYiTMKHgktTP8We1SCoS47DrQ/edit?usp=sharing"",""จัดที่ดิน!AS69"")"),54)</f>
        <v>54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IFERROR(__xludf.DUMMYFUNCTION("IMPORTRANGE(""https://docs.google.com/spreadsheets/d/1XWAQStnk-4SwqDmLtmXYiTMKHgktTP8We1SCoS47DrQ/edit?usp=sharing"",""จัดที่ดิน!AT69"")"),59.97)</f>
        <v>59.97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IFERROR(__xludf.DUMMYFUNCTION("IMPORTRANGE(""https://docs.google.com/spreadsheets/d/1QqKyyYR6Q21VydFLVH3TRQUabQu_ym0Zz7PgGX0-kHA/edit?usp=sharing"",""แผน!HS14"")"),350)</f>
        <v>350</v>
      </c>
      <c r="J647" s="270">
        <f ca="1">IFERROR(__xludf.DUMMYFUNCTION("IMPORTRANGE(""https://docs.google.com/spreadsheets/d/1XWAQStnk-4SwqDmLtmXYiTMKHgktTP8We1SCoS47DrQ/edit?usp=sharing"",""จัดที่ดิน!AU69"")"),53)</f>
        <v>53</v>
      </c>
      <c r="K647" s="163">
        <f t="shared" ca="1" si="271"/>
        <v>15.142857142857142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IFERROR(__xludf.DUMMYFUNCTION("IMPORTRANGE(""https://docs.google.com/spreadsheets/d/1XWAQStnk-4SwqDmLtmXYiTMKHgktTP8We1SCoS47DrQ/edit?usp=sharing"",""จัดที่ดิน!AV69"")"),60.17)</f>
        <v>60.17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IFERROR(__xludf.DUMMYFUNCTION("IMPORTRANGE(""https://docs.google.com/spreadsheets/d/1QqKyyYR6Q21VydFLVH3TRQUabQu_ym0Zz7PgGX0-kHA/edit?usp=sharing"",""แผน!HS14"")"),350)</f>
        <v>350</v>
      </c>
      <c r="J649" s="270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IFERROR(__xludf.DUMMYFUNCTION("IMPORTRANGE(""https://docs.google.com/spreadsheets/d/1XWAQStnk-4SwqDmLtmXYiTMKHgktTP8We1SCoS47DrQ/edit?usp=sharing"",""จัดที่ดิน!AX69"")"),0)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IFERROR(__xludf.DUMMYFUNCTION("IMPORTRANGE(""https://docs.google.com/spreadsheets/d/1QqKyyYR6Q21VydFLVH3TRQUabQu_ym0Zz7PgGX0-kHA/edit?usp=sharing"",""แผน!HS14"")"),350)</f>
        <v>350</v>
      </c>
      <c r="J651" s="270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IFERROR(__xludf.DUMMYFUNCTION("IMPORTRANGE(""https://docs.google.com/spreadsheets/d/1XWAQStnk-4SwqDmLtmXYiTMKHgktTP8We1SCoS47DrQ/edit?usp=sharing"",""จัดที่ดิน!AZ69"")"),0)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 hidden="1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 hidden="1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2">I669</f>
        <v>0</v>
      </c>
      <c r="J654" s="675">
        <f t="shared" si="27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 hidden="1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 hidden="1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IFERROR(__xludf.DUMMYFUNCTION("IMPORTRANGE(""https://docs.google.com/spreadsheets/d/1QqKyyYR6Q21VydFLVH3TRQUabQu_ym0Zz7PgGX0-kHA/edit?usp=sharing"",""แผน!HV14"")"),0)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 hidden="1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 hidden="1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 hidden="1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 hidden="1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 hidden="1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 hidden="1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 hidden="1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IFERROR(__xludf.DUMMYFUNCTION("IMPORTRANGE(""https://docs.google.com/spreadsheets/d/1QqKyyYR6Q21VydFLVH3TRQUabQu_ym0Zz7PgGX0-kHA/edit?usp=sharing"",""แผน!IA14"")"),0)</f>
        <v>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 hidden="1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IFERROR(__xludf.DUMMYFUNCTION("IMPORTRANGE(""https://docs.google.com/spreadsheets/d/1QqKyyYR6Q21VydFLVH3TRQUabQu_ym0Zz7PgGX0-kHA/edit?usp=sharing"",""แผน!HZ14"")"),0)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 hidden="1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IFERROR(__xludf.DUMMYFUNCTION("IMPORTRANGE(""https://docs.google.com/spreadsheets/d/1QqKyyYR6Q21VydFLVH3TRQUabQu_ym0Zz7PgGX0-kHA/edit?usp=sharing"",""แผน!HZ14"")"),0)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 hidden="1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 hidden="1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 hidden="1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 hidden="1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 hidden="1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 hidden="1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 hidden="1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IFERROR(__xludf.DUMMYFUNCTION("IMPORTRANGE(""https://docs.google.com/spreadsheets/d/1QqKyyYR6Q21VydFLVH3TRQUabQu_ym0Zz7PgGX0-kHA/edit?usp=sharing"",""แผน!IB14"")"),0)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 hidden="1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 hidden="1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 hidden="1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 hidden="1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 hidden="1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4580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5"/>
        <v>4580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6">L689+L690</f>
        <v>4580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IFERROR(__xludf.DUMMYFUNCTION("IMPORTRANGE(""https://docs.google.com/spreadsheets/d/1QqKyyYR6Q21VydFLVH3TRQUabQu_ym0Zz7PgGX0-kHA/edit?usp=sharing"",""แผน!HW14"")"),4580)</f>
        <v>4580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IFERROR(__xludf.DUMMYFUNCTION("IMPORTRANGE(""https://docs.google.com/spreadsheets/d/1QqKyyYR6Q21VydFLVH3TRQUabQu_ym0Zz7PgGX0-kHA/edit?usp=sharing"",""แผน!IC14"")"),0)</f>
        <v>0</v>
      </c>
      <c r="J699" s="270">
        <f ca="1">IFERROR(__xludf.DUMMYFUNCTION("IMPORTRANGE(""https://docs.google.com/spreadsheets/d/1XWAQStnk-4SwqDmLtmXYiTMKHgktTP8We1SCoS47DrQ/edit?usp=sharing"",""จัดที่ดิน!BB69"")"),0)</f>
        <v>0</v>
      </c>
      <c r="K699" s="466">
        <f t="shared" ref="K699:K701" ca="1" si="290">IF(I699&gt;0,J699*100/I699,0)</f>
        <v>0</v>
      </c>
      <c r="L699" s="466"/>
      <c r="M699" s="189"/>
      <c r="N699" s="733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IFERROR(__xludf.DUMMYFUNCTION("IMPORTRANGE(""https://docs.google.com/spreadsheets/d/1QqKyyYR6Q21VydFLVH3TRQUabQu_ym0Zz7PgGX0-kHA/edit?usp=sharing"",""แผน!ID14"")"),0)</f>
        <v>0</v>
      </c>
      <c r="J700" s="270">
        <f ca="1">IFERROR(__xludf.DUMMYFUNCTION("IMPORTRANGE(""https://docs.google.com/spreadsheets/d/1XWAQStnk-4SwqDmLtmXYiTMKHgktTP8We1SCoS47DrQ/edit?usp=sharing"",""จัดที่ดิน!BD69"")"),0)</f>
        <v>0</v>
      </c>
      <c r="K700" s="466">
        <f t="shared" ca="1" si="290"/>
        <v>0</v>
      </c>
      <c r="L700" s="466"/>
      <c r="M700" s="189"/>
      <c r="N700" s="733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IFERROR(__xludf.DUMMYFUNCTION("IMPORTRANGE(""https://docs.google.com/spreadsheets/d/1QqKyyYR6Q21VydFLVH3TRQUabQu_ym0Zz7PgGX0-kHA/edit?usp=sharing"",""แผน!IE14"")"),40)</f>
        <v>40</v>
      </c>
      <c r="J701" s="648">
        <f>J704+J707</f>
        <v>0</v>
      </c>
      <c r="K701" s="195">
        <f t="shared" ca="1" si="290"/>
        <v>0</v>
      </c>
      <c r="L701" s="466"/>
      <c r="M701" s="189"/>
      <c r="N701" s="733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IFERROR(__xludf.DUMMYFUNCTION("IMPORTRANGE(""https://docs.google.com/spreadsheets/d/1QqKyyYR6Q21VydFLVH3TRQUabQu_ym0Zz7PgGX0-kHA/edit?usp=sharing"",""แผน!IF14"")"),40)</f>
        <v>40</v>
      </c>
      <c r="J704" s="215">
        <v>0</v>
      </c>
      <c r="K704" s="466"/>
      <c r="L704" s="466"/>
      <c r="M704" s="189"/>
      <c r="N704" s="733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0</v>
      </c>
      <c r="K705" s="466"/>
      <c r="L705" s="466"/>
      <c r="M705" s="189"/>
      <c r="N705" s="733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0</v>
      </c>
      <c r="K706" s="466"/>
      <c r="L706" s="466"/>
      <c r="M706" s="189"/>
      <c r="N706" s="733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IFERROR(__xludf.DUMMYFUNCTION("IMPORTRANGE(""https://docs.google.com/spreadsheets/d/1QqKyyYR6Q21VydFLVH3TRQUabQu_ym0Zz7PgGX0-kHA/edit?usp=sharing"",""แผน!IG14"")"),0)</f>
        <v>0</v>
      </c>
      <c r="J707" s="215">
        <v>0</v>
      </c>
      <c r="K707" s="466"/>
      <c r="L707" s="466"/>
      <c r="M707" s="189"/>
      <c r="N707" s="733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IFERROR(__xludf.DUMMYFUNCTION("IMPORTRANGE(""https://docs.google.com/spreadsheets/d/1QqKyyYR6Q21VydFLVH3TRQUabQu_ym0Zz7PgGX0-kHA/edit?usp=sharing"",""แผน!IH14"")"),40)</f>
        <v>40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IFERROR(__xludf.DUMMYFUNCTION("IMPORTRANGE(""https://docs.google.com/spreadsheets/d/1XWAQStnk-4SwqDmLtmXYiTMKHgktTP8We1SCoS47DrQ/edit?usp=sharing"",""จัดที่ดิน!BF69"")"),0)</f>
        <v>0</v>
      </c>
      <c r="K718" s="466"/>
      <c r="L718" s="466"/>
      <c r="M718" s="189"/>
      <c r="N718" s="733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IFERROR(__xludf.DUMMYFUNCTION("IMPORTRANGE(""https://docs.google.com/spreadsheets/d/1XWAQStnk-4SwqDmLtmXYiTMKHgktTP8We1SCoS47DrQ/edit?usp=sharing"",""จัดที่ดิน!BG69"")"),0)</f>
        <v>0</v>
      </c>
      <c r="K719" s="466"/>
      <c r="L719" s="733"/>
      <c r="M719" s="189"/>
      <c r="N719" s="733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IFERROR(__xludf.DUMMYFUNCTION("IMPORTRANGE(""https://docs.google.com/spreadsheets/d/1QqKyyYR6Q21VydFLVH3TRQUabQu_ym0Zz7PgGX0-kHA/edit?usp=sharing"",""แผน!II14"")"),50)</f>
        <v>50</v>
      </c>
      <c r="J720" s="270">
        <f ca="1">IFERROR(__xludf.DUMMYFUNCTION("IMPORTRANGE(""https://docs.google.com/spreadsheets/d/1XWAQStnk-4SwqDmLtmXYiTMKHgktTP8We1SCoS47DrQ/edit?usp=sharing"",""จัดที่ดิน!BH69"")"),0)</f>
        <v>0</v>
      </c>
      <c r="K720" s="466">
        <f t="shared" ref="K720:K723" ca="1" si="291">IF(I720&gt;0,J720*100/I720,0)</f>
        <v>0</v>
      </c>
      <c r="L720" s="733"/>
      <c r="M720" s="189"/>
      <c r="N720" s="733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IFERROR(__xludf.DUMMYFUNCTION("IMPORTRANGE(""https://docs.google.com/spreadsheets/d/1QqKyyYR6Q21VydFLVH3TRQUabQu_ym0Zz7PgGX0-kHA/edit?usp=sharing"",""แผน!IJ14"")"),4)</f>
        <v>4</v>
      </c>
      <c r="J721" s="648">
        <f ca="1">J723+J726</f>
        <v>0</v>
      </c>
      <c r="K721" s="195">
        <f t="shared" ca="1" si="291"/>
        <v>0</v>
      </c>
      <c r="L721" s="733"/>
      <c r="M721" s="189"/>
      <c r="N721" s="733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IFERROR(__xludf.DUMMYFUNCTION("IMPORTRANGE(""https://docs.google.com/spreadsheets/d/1QqKyyYR6Q21VydFLVH3TRQUabQu_ym0Zz7PgGX0-kHA/edit?usp=sharing"",""แผน!IK14"")"),50)</f>
        <v>50</v>
      </c>
      <c r="J722" s="648">
        <f ca="1">J725+J728</f>
        <v>0</v>
      </c>
      <c r="K722" s="195">
        <f t="shared" ca="1" si="291"/>
        <v>0</v>
      </c>
      <c r="L722" s="466"/>
      <c r="M722" s="189"/>
      <c r="N722" s="733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IFERROR(__xludf.DUMMYFUNCTION("IMPORTRANGE(""https://docs.google.com/spreadsheets/d/1QqKyyYR6Q21VydFLVH3TRQUabQu_ym0Zz7PgGX0-kHA/edit?usp=sharing"",""แผน!IL14"")"),4)</f>
        <v>4</v>
      </c>
      <c r="J723" s="270">
        <f ca="1">IFERROR(__xludf.DUMMYFUNCTION("IMPORTRANGE(""https://docs.google.com/spreadsheets/d/1XWAQStnk-4SwqDmLtmXYiTMKHgktTP8We1SCoS47DrQ/edit?usp=sharing"",""จัดที่ดิน!BM69"")"),0)</f>
        <v>0</v>
      </c>
      <c r="K723" s="466">
        <f t="shared" ca="1" si="291"/>
        <v>0</v>
      </c>
      <c r="L723" s="466"/>
      <c r="M723" s="189"/>
      <c r="N723" s="733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IFERROR(__xludf.DUMMYFUNCTION("IMPORTRANGE(""https://docs.google.com/spreadsheets/d/1XWAQStnk-4SwqDmLtmXYiTMKHgktTP8We1SCoS47DrQ/edit?usp=sharing"",""จัดที่ดิน!BN69"")"),0)</f>
        <v>0</v>
      </c>
      <c r="K724" s="466"/>
      <c r="L724" s="733"/>
      <c r="M724" s="189"/>
      <c r="N724" s="733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IFERROR(__xludf.DUMMYFUNCTION("IMPORTRANGE(""https://docs.google.com/spreadsheets/d/1QqKyyYR6Q21VydFLVH3TRQUabQu_ym0Zz7PgGX0-kHA/edit?usp=sharing"",""แผน!IM14"")"),50)</f>
        <v>50</v>
      </c>
      <c r="J725" s="270">
        <f ca="1">IFERROR(__xludf.DUMMYFUNCTION("IMPORTRANGE(""https://docs.google.com/spreadsheets/d/1XWAQStnk-4SwqDmLtmXYiTMKHgktTP8We1SCoS47DrQ/edit?usp=sharing"",""จัดที่ดิน!BO69"")"),0)</f>
        <v>0</v>
      </c>
      <c r="K725" s="466">
        <f t="shared" ref="K725:K726" ca="1" si="292">IF(I725&gt;0,J725*100/I725,0)</f>
        <v>0</v>
      </c>
      <c r="L725" s="733"/>
      <c r="M725" s="189"/>
      <c r="N725" s="733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IFERROR(__xludf.DUMMYFUNCTION("IMPORTRANGE(""https://docs.google.com/spreadsheets/d/1QqKyyYR6Q21VydFLVH3TRQUabQu_ym0Zz7PgGX0-kHA/edit?usp=sharing"",""แผน!IN14"")"),0)</f>
        <v>0</v>
      </c>
      <c r="J726" s="270">
        <f ca="1">IFERROR(__xludf.DUMMYFUNCTION("IMPORTRANGE(""https://docs.google.com/spreadsheets/d/1XWAQStnk-4SwqDmLtmXYiTMKHgktTP8We1SCoS47DrQ/edit?usp=sharing"",""จัดที่ดิน!BR69"")"),0)</f>
        <v>0</v>
      </c>
      <c r="K726" s="466">
        <f t="shared" ca="1" si="292"/>
        <v>0</v>
      </c>
      <c r="L726" s="466"/>
      <c r="M726" s="189"/>
      <c r="N726" s="733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IFERROR(__xludf.DUMMYFUNCTION("IMPORTRANGE(""https://docs.google.com/spreadsheets/d/1XWAQStnk-4SwqDmLtmXYiTMKHgktTP8We1SCoS47DrQ/edit?usp=sharing"",""จัดที่ดิน!BS69"")"),0)</f>
        <v>0</v>
      </c>
      <c r="K727" s="466"/>
      <c r="L727" s="733"/>
      <c r="M727" s="189"/>
      <c r="N727" s="733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IFERROR(__xludf.DUMMYFUNCTION("IMPORTRANGE(""https://docs.google.com/spreadsheets/d/1QqKyyYR6Q21VydFLVH3TRQUabQu_ym0Zz7PgGX0-kHA/edit?usp=sharing"",""แผน!IO14"")"),0)</f>
        <v>0</v>
      </c>
      <c r="J728" s="270">
        <f ca="1">IFERROR(__xludf.DUMMYFUNCTION("IMPORTRANGE(""https://docs.google.com/spreadsheets/d/1XWAQStnk-4SwqDmLtmXYiTMKHgktTP8We1SCoS47DrQ/edit?usp=sharing"",""จัดที่ดิน!BT69"")"),0)</f>
        <v>0</v>
      </c>
      <c r="K728" s="466">
        <f t="shared" ref="K728:K729" ca="1" si="293">IF(I728&gt;0,J728*100/I728,0)</f>
        <v>0</v>
      </c>
      <c r="L728" s="733"/>
      <c r="M728" s="189"/>
      <c r="N728" s="733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IFERROR(__xludf.DUMMYFUNCTION("IMPORTRANGE(""https://docs.google.com/spreadsheets/d/1QqKyyYR6Q21VydFLVH3TRQUabQu_ym0Zz7PgGX0-kHA/edit?usp=sharing"",""แผน!IP14"")"),0)</f>
        <v>0</v>
      </c>
      <c r="J729" s="648">
        <f>J732+J735</f>
        <v>0</v>
      </c>
      <c r="K729" s="195">
        <f t="shared" ca="1" si="293"/>
        <v>0</v>
      </c>
      <c r="L729" s="466"/>
      <c r="M729" s="189"/>
      <c r="N729" s="733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0</v>
      </c>
      <c r="K730" s="466"/>
      <c r="L730" s="733"/>
      <c r="M730" s="466"/>
      <c r="N730" s="733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0</v>
      </c>
      <c r="K731" s="466"/>
      <c r="L731" s="733"/>
      <c r="M731" s="466"/>
      <c r="N731" s="733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0</v>
      </c>
      <c r="K732" s="466"/>
      <c r="L732" s="733"/>
      <c r="M732" s="466"/>
      <c r="N732" s="733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0</v>
      </c>
      <c r="K733" s="466"/>
      <c r="L733" s="733"/>
      <c r="M733" s="466"/>
      <c r="N733" s="733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0</v>
      </c>
      <c r="K734" s="466"/>
      <c r="L734" s="733"/>
      <c r="M734" s="466"/>
      <c r="N734" s="733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0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4">L738+L739</f>
        <v>0</v>
      </c>
      <c r="M737" s="614">
        <f t="shared" si="294"/>
        <v>0</v>
      </c>
      <c r="N737" s="614">
        <f t="shared" si="294"/>
        <v>0</v>
      </c>
      <c r="O737" s="614">
        <f t="shared" ref="O737:O742" si="295">IF(L737&gt;0,N737*100/L737,0)</f>
        <v>0</v>
      </c>
      <c r="P737" s="614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6"/>
      <c r="D740" s="612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8">L741+L742</f>
        <v>0</v>
      </c>
      <c r="M740" s="614">
        <f t="shared" si="298"/>
        <v>0</v>
      </c>
      <c r="N740" s="614">
        <f t="shared" si="298"/>
        <v>0</v>
      </c>
      <c r="O740" s="614">
        <f t="shared" si="295"/>
        <v>0</v>
      </c>
      <c r="P740" s="614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6"/>
      <c r="D747" s="612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299">L748+L749</f>
        <v>0</v>
      </c>
      <c r="M747" s="614">
        <f t="shared" si="299"/>
        <v>0</v>
      </c>
      <c r="N747" s="614">
        <f t="shared" si="299"/>
        <v>0</v>
      </c>
      <c r="O747" s="614">
        <f t="shared" ref="O747:O749" si="300">IF(L747&gt;0,N747*100/L747,0)</f>
        <v>0</v>
      </c>
      <c r="P747" s="614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2">L755+L756</f>
        <v>0</v>
      </c>
      <c r="M754" s="614">
        <f t="shared" si="302"/>
        <v>0</v>
      </c>
      <c r="N754" s="614">
        <f t="shared" si="302"/>
        <v>0</v>
      </c>
      <c r="O754" s="614">
        <f t="shared" ref="O754:O759" si="303">IF(L754&gt;0,N754*100/L754,0)</f>
        <v>0</v>
      </c>
      <c r="P754" s="614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6"/>
      <c r="D757" s="612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6">L758+L759</f>
        <v>0</v>
      </c>
      <c r="M757" s="614">
        <f t="shared" si="306"/>
        <v>0</v>
      </c>
      <c r="N757" s="614">
        <f t="shared" si="306"/>
        <v>0</v>
      </c>
      <c r="O757" s="614">
        <f t="shared" si="303"/>
        <v>0</v>
      </c>
      <c r="P757" s="614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6"/>
      <c r="D764" s="612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7">L765+L766</f>
        <v>0</v>
      </c>
      <c r="M764" s="614">
        <f t="shared" si="307"/>
        <v>0</v>
      </c>
      <c r="N764" s="614">
        <f t="shared" si="307"/>
        <v>0</v>
      </c>
      <c r="O764" s="614">
        <f t="shared" ref="O764:O766" si="308">IF(L764&gt;0,N764*100/L764,0)</f>
        <v>0</v>
      </c>
      <c r="P764" s="614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0">L771+L772</f>
        <v>0</v>
      </c>
      <c r="M770" s="614">
        <f t="shared" si="310"/>
        <v>0</v>
      </c>
      <c r="N770" s="614">
        <f t="shared" si="310"/>
        <v>0</v>
      </c>
      <c r="O770" s="614">
        <f t="shared" ref="O770:O775" si="311">IF(L770&gt;0,N770*100/L770,0)</f>
        <v>0</v>
      </c>
      <c r="P770" s="614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6"/>
      <c r="D773" s="612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4">L774+L775</f>
        <v>0</v>
      </c>
      <c r="M773" s="614">
        <f t="shared" si="314"/>
        <v>0</v>
      </c>
      <c r="N773" s="614">
        <f t="shared" si="314"/>
        <v>0</v>
      </c>
      <c r="O773" s="614">
        <f t="shared" si="311"/>
        <v>0</v>
      </c>
      <c r="P773" s="614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6"/>
      <c r="D780" s="612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5">L781+L782</f>
        <v>0</v>
      </c>
      <c r="M780" s="614">
        <f t="shared" si="315"/>
        <v>0</v>
      </c>
      <c r="N780" s="614">
        <f t="shared" si="315"/>
        <v>0</v>
      </c>
      <c r="O780" s="614">
        <f t="shared" ref="O780:O782" si="316">IF(L780&gt;0,N780*100/L780,0)</f>
        <v>0</v>
      </c>
      <c r="P780" s="614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773" t="s">
        <v>46</v>
      </c>
      <c r="I785" s="774">
        <f t="shared" ref="I785:J785" ca="1" si="318">I801+I803</f>
        <v>79000</v>
      </c>
      <c r="J785" s="774">
        <f t="shared" ca="1" si="318"/>
        <v>7526</v>
      </c>
      <c r="K785" s="775">
        <f ca="1">IF(I785&gt;0,J785*100/I785,0)</f>
        <v>9.5265822784810119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563" t="s">
        <v>12</v>
      </c>
      <c r="I786" s="270"/>
      <c r="J786" s="270"/>
      <c r="K786" s="466"/>
      <c r="L786" s="195">
        <f t="shared" ref="L786:N786" ca="1" si="319">L787+L788</f>
        <v>335200</v>
      </c>
      <c r="M786" s="195">
        <f t="shared" si="319"/>
        <v>0</v>
      </c>
      <c r="N786" s="195">
        <f t="shared" si="319"/>
        <v>116056.88</v>
      </c>
      <c r="O786" s="195">
        <f t="shared" ref="O786:O791" ca="1" si="320">IF(L786&gt;0,N786*100/L786,0)</f>
        <v>34.623174224343678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6"/>
      <c r="D787" s="687"/>
      <c r="E787" s="726" t="s">
        <v>184</v>
      </c>
      <c r="F787" s="726"/>
      <c r="G787" s="568"/>
      <c r="H787" s="165" t="s">
        <v>12</v>
      </c>
      <c r="I787" s="584"/>
      <c r="J787" s="584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6" t="s">
        <v>185</v>
      </c>
      <c r="F788" s="726"/>
      <c r="G788" s="568"/>
      <c r="H788" s="165" t="s">
        <v>12</v>
      </c>
      <c r="I788" s="584"/>
      <c r="J788" s="584"/>
      <c r="K788" s="93"/>
      <c r="L788" s="93">
        <f t="shared" ca="1" si="322"/>
        <v>335200</v>
      </c>
      <c r="M788" s="93">
        <f t="shared" si="322"/>
        <v>0</v>
      </c>
      <c r="N788" s="93">
        <f t="shared" si="322"/>
        <v>116056.88</v>
      </c>
      <c r="O788" s="93">
        <f t="shared" ca="1" si="320"/>
        <v>34.623174224343678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730"/>
      <c r="F789" s="730"/>
      <c r="G789" s="189"/>
      <c r="H789" s="779" t="s">
        <v>12</v>
      </c>
      <c r="I789" s="184"/>
      <c r="J789" s="184"/>
      <c r="K789" s="163"/>
      <c r="L789" s="466">
        <f t="shared" ref="L789:N789" ca="1" si="323">L790+L791</f>
        <v>335200</v>
      </c>
      <c r="M789" s="466">
        <f t="shared" si="323"/>
        <v>0</v>
      </c>
      <c r="N789" s="466">
        <f t="shared" si="323"/>
        <v>116056.88</v>
      </c>
      <c r="O789" s="466">
        <f t="shared" ca="1" si="320"/>
        <v>34.623174224343678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6" t="s">
        <v>184</v>
      </c>
      <c r="F790" s="726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6" t="s">
        <v>185</v>
      </c>
      <c r="F791" s="726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IFERROR(__xludf.DUMMYFUNCTION("IMPORTRANGE(""https://docs.google.com/spreadsheets/d/1QqKyyYR6Q21VydFLVH3TRQUabQu_ym0Zz7PgGX0-kHA/edit?usp=sharing"",""แผน!JJ14"")"),335200)</f>
        <v>335200</v>
      </c>
      <c r="M791" s="93">
        <v>0</v>
      </c>
      <c r="N791" s="93">
        <f>N792+N793+N794+N795</f>
        <v>116056.88</v>
      </c>
      <c r="O791" s="93">
        <f t="shared" ca="1" si="320"/>
        <v>34.623174224343678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730"/>
      <c r="D792" s="730"/>
      <c r="E792" s="730"/>
      <c r="F792" s="730" t="s">
        <v>186</v>
      </c>
      <c r="G792" s="189"/>
      <c r="H792" s="779" t="s">
        <v>12</v>
      </c>
      <c r="I792" s="270"/>
      <c r="J792" s="270"/>
      <c r="K792" s="466"/>
      <c r="L792" s="466"/>
      <c r="M792" s="466"/>
      <c r="N792" s="801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730"/>
      <c r="D793" s="730"/>
      <c r="E793" s="730"/>
      <c r="F793" s="730" t="s">
        <v>187</v>
      </c>
      <c r="G793" s="189"/>
      <c r="H793" s="779" t="s">
        <v>12</v>
      </c>
      <c r="I793" s="270"/>
      <c r="J793" s="270"/>
      <c r="K793" s="466"/>
      <c r="L793" s="466"/>
      <c r="M793" s="466"/>
      <c r="N793" s="801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730"/>
      <c r="D794" s="730"/>
      <c r="E794" s="730"/>
      <c r="F794" s="730" t="s">
        <v>188</v>
      </c>
      <c r="G794" s="189"/>
      <c r="H794" s="779" t="s">
        <v>12</v>
      </c>
      <c r="I794" s="270"/>
      <c r="J794" s="270"/>
      <c r="K794" s="466"/>
      <c r="L794" s="466"/>
      <c r="M794" s="466"/>
      <c r="N794" s="801">
        <v>52500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730"/>
      <c r="D795" s="730"/>
      <c r="E795" s="730"/>
      <c r="F795" s="730" t="s">
        <v>189</v>
      </c>
      <c r="G795" s="189"/>
      <c r="H795" s="779" t="s">
        <v>12</v>
      </c>
      <c r="I795" s="270"/>
      <c r="J795" s="270"/>
      <c r="K795" s="466"/>
      <c r="L795" s="466"/>
      <c r="M795" s="466"/>
      <c r="N795" s="801">
        <f>43030+20526.88</f>
        <v>63556.880000000005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730"/>
      <c r="D796" s="571" t="s">
        <v>21</v>
      </c>
      <c r="E796" s="730"/>
      <c r="F796" s="730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6"/>
      <c r="D797" s="726"/>
      <c r="E797" s="726" t="s">
        <v>18</v>
      </c>
      <c r="F797" s="726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6"/>
      <c r="D798" s="726"/>
      <c r="E798" s="726" t="s">
        <v>19</v>
      </c>
      <c r="F798" s="726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777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85"/>
      <c r="C800" s="585"/>
      <c r="D800" s="585"/>
      <c r="E800" s="593"/>
      <c r="F800" s="593" t="s">
        <v>320</v>
      </c>
      <c r="G800" s="729"/>
      <c r="H800" s="778" t="s">
        <v>34</v>
      </c>
      <c r="I800" s="184"/>
      <c r="J800" s="184">
        <f ca="1">IFERROR(__xludf.DUMMYFUNCTION("IMPORTRANGE(""https://docs.google.com/spreadsheets/d/1MaWodYyGHDf7siQLGxnXhG4mBNTNIuy296niS2xXulU/edit?usp=sharing"",""RTK!H14"")"),0)</f>
        <v>0</v>
      </c>
      <c r="K800" s="466"/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85"/>
      <c r="C801" s="585"/>
      <c r="D801" s="585"/>
      <c r="E801" s="593"/>
      <c r="F801" s="593"/>
      <c r="G801" s="729"/>
      <c r="H801" s="779" t="s">
        <v>46</v>
      </c>
      <c r="I801" s="184">
        <f ca="1">IFERROR(__xludf.DUMMYFUNCTION("IMPORTRANGE(""https://docs.google.com/spreadsheets/d/1MaWodYyGHDf7siQLGxnXhG4mBNTNIuy296niS2xXulU/edit?usp=sharing"",""RTK!G14"")"),5000)</f>
        <v>5000</v>
      </c>
      <c r="J801" s="270">
        <f ca="1">IFERROR(__xludf.DUMMYFUNCTION("IMPORTRANGE(""https://docs.google.com/spreadsheets/d/1MaWodYyGHDf7siQLGxnXhG4mBNTNIuy296niS2xXulU/edit?usp=sharing"",""RTK!I14"")"),0)</f>
        <v>0</v>
      </c>
      <c r="K801" s="466">
        <f ca="1">IF(I801&gt;0,J801*100/I801,0)</f>
        <v>0</v>
      </c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780"/>
      <c r="B802" s="781"/>
      <c r="C802" s="781"/>
      <c r="D802" s="781"/>
      <c r="E802" s="783"/>
      <c r="F802" s="783" t="s">
        <v>321</v>
      </c>
      <c r="G802" s="333"/>
      <c r="H802" s="784" t="s">
        <v>34</v>
      </c>
      <c r="I802" s="320"/>
      <c r="J802" s="320">
        <f ca="1">IFERROR(__xludf.DUMMYFUNCTION("IMPORTRANGE(""https://docs.google.com/spreadsheets/d/1MaWodYyGHDf7siQLGxnXhG4mBNTNIuy296niS2xXulU/edit?usp=sharing"",""RTK!L14"")"),607)</f>
        <v>607</v>
      </c>
      <c r="K802" s="322"/>
      <c r="L802" s="321"/>
      <c r="M802" s="321"/>
      <c r="N802" s="321"/>
      <c r="O802" s="321"/>
      <c r="P802" s="321"/>
      <c r="Q802" s="785"/>
      <c r="R802" s="785"/>
      <c r="S802" s="785"/>
      <c r="T802" s="785"/>
      <c r="U802" s="785"/>
      <c r="V802" s="785"/>
      <c r="W802" s="785"/>
      <c r="X802" s="785"/>
      <c r="Y802" s="785"/>
      <c r="Z802" s="785"/>
    </row>
    <row r="803" spans="1:26" ht="18.75">
      <c r="A803" s="780"/>
      <c r="B803" s="781"/>
      <c r="C803" s="781"/>
      <c r="D803" s="781"/>
      <c r="E803" s="783"/>
      <c r="F803" s="783"/>
      <c r="G803" s="333"/>
      <c r="H803" s="784" t="s">
        <v>46</v>
      </c>
      <c r="I803" s="320">
        <f ca="1">IFERROR(__xludf.DUMMYFUNCTION("IMPORTRANGE(""https://docs.google.com/spreadsheets/d/1MaWodYyGHDf7siQLGxnXhG4mBNTNIuy296niS2xXulU/edit?usp=sharing"",""RTK!K14"")"),74000)</f>
        <v>74000</v>
      </c>
      <c r="J803" s="326">
        <f ca="1">IFERROR(__xludf.DUMMYFUNCTION("IMPORTRANGE(""https://docs.google.com/spreadsheets/d/1MaWodYyGHDf7siQLGxnXhG4mBNTNIuy296niS2xXulU/edit?usp=sharing"",""RTK!M14"")"),7526)</f>
        <v>7526</v>
      </c>
      <c r="K803" s="322">
        <f t="shared" ref="K803:K804" ca="1" si="327">IF(I803&gt;0,J803*100/I803,0)</f>
        <v>10.170270270270271</v>
      </c>
      <c r="L803" s="321"/>
      <c r="M803" s="321"/>
      <c r="N803" s="321"/>
      <c r="O803" s="321"/>
      <c r="P803" s="321"/>
      <c r="Q803" s="785"/>
      <c r="R803" s="785"/>
      <c r="S803" s="785"/>
      <c r="T803" s="785"/>
      <c r="U803" s="785"/>
      <c r="V803" s="785"/>
      <c r="W803" s="785"/>
      <c r="X803" s="785"/>
      <c r="Y803" s="785"/>
      <c r="Z803" s="785"/>
    </row>
    <row r="804" spans="1:26" ht="19.5" hidden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 t="shared" si="327"/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8">L806+L807</f>
        <v>0</v>
      </c>
      <c r="M805" s="614">
        <f t="shared" si="328"/>
        <v>0</v>
      </c>
      <c r="N805" s="614">
        <f t="shared" si="328"/>
        <v>0</v>
      </c>
      <c r="O805" s="614">
        <f t="shared" ref="O805:O810" si="329">IF(L805&gt;0,N805*100/L805,0)</f>
        <v>0</v>
      </c>
      <c r="P805" s="614">
        <f t="shared" ref="P805:P810" si="330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2">L809+L810</f>
        <v>0</v>
      </c>
      <c r="M808" s="614">
        <f t="shared" si="332"/>
        <v>0</v>
      </c>
      <c r="N808" s="614">
        <f t="shared" si="332"/>
        <v>0</v>
      </c>
      <c r="O808" s="614">
        <f t="shared" si="329"/>
        <v>0</v>
      </c>
      <c r="P808" s="614">
        <f t="shared" si="330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3">L816+L817</f>
        <v>0</v>
      </c>
      <c r="M815" s="614">
        <f t="shared" si="333"/>
        <v>0</v>
      </c>
      <c r="N815" s="614">
        <f t="shared" si="333"/>
        <v>0</v>
      </c>
      <c r="O815" s="614">
        <f t="shared" ref="O815:O817" si="334">IF(L815&gt;0,N815*100/L815,0)</f>
        <v>0</v>
      </c>
      <c r="P815" s="614">
        <f t="shared" ref="P815:P817" si="335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55" t="s">
        <v>332</v>
      </c>
      <c r="B820" s="856"/>
      <c r="C820" s="856"/>
      <c r="D820" s="857"/>
      <c r="E820" s="856"/>
      <c r="F820" s="856"/>
      <c r="G820" s="858"/>
      <c r="H820" s="8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60"/>
      <c r="J820" s="860"/>
      <c r="K820" s="861"/>
      <c r="L820" s="861"/>
      <c r="M820" s="861"/>
      <c r="N820" s="861"/>
      <c r="O820" s="861"/>
      <c r="P820" s="86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IFERROR(__xludf.DUMMYFUNCTION("IMPORTRANGE(""https://docs.google.com/spreadsheets/d/19vJNZY_5yjcGF2XGBMNZRCAIB0Kwfpjp8YEOfu-bneM/edit?usp=sharing"",""งานกองทุน!D14"")"),4991000)</f>
        <v>4991000</v>
      </c>
      <c r="J821" s="270">
        <f ca="1">IFERROR(__xludf.DUMMYFUNCTION("IMPORTRANGE(""https://docs.google.com/spreadsheets/d/19vJNZY_5yjcGF2XGBMNZRCAIB0Kwfpjp8YEOfu-bneM/edit?usp=sharing"",""งานกองทุน!F14"")"),183000)</f>
        <v>183000</v>
      </c>
      <c r="K821" s="466">
        <f t="shared" ref="K821:K828" ca="1" si="336">IF(I821&gt;0,J821*100/I821,0)</f>
        <v>3.6665998797836106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IFERROR(__xludf.DUMMYFUNCTION("IMPORTRANGE(""https://docs.google.com/spreadsheets/d/19vJNZY_5yjcGF2XGBMNZRCAIB0Kwfpjp8YEOfu-bneM/edit?usp=sharing"",""งานกองทุน!C14"")"),166)</f>
        <v>166</v>
      </c>
      <c r="J822" s="270">
        <f ca="1">IFERROR(__xludf.DUMMYFUNCTION("IMPORTRANGE(""https://docs.google.com/spreadsheets/d/19vJNZY_5yjcGF2XGBMNZRCAIB0Kwfpjp8YEOfu-bneM/edit?usp=sharing"",""งานกองทุน!E14"")"),7)</f>
        <v>7</v>
      </c>
      <c r="K822" s="466">
        <f t="shared" ca="1" si="336"/>
        <v>4.2168674698795181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IFERROR(__xludf.DUMMYFUNCTION("IMPORTRANGE(""https://docs.google.com/spreadsheets/d/19vJNZY_5yjcGF2XGBMNZRCAIB0Kwfpjp8YEOfu-bneM/edit?usp=sharing"",""งานกองทุน!I14"")"),4731042.35)</f>
        <v>4731042.3499999996</v>
      </c>
      <c r="J823" s="270">
        <f ca="1">IFERROR(__xludf.DUMMYFUNCTION("IMPORTRANGE(""https://docs.google.com/spreadsheets/d/19vJNZY_5yjcGF2XGBMNZRCAIB0Kwfpjp8YEOfu-bneM/edit?usp=sharing"",""งานกองทุน!K14"")"),190751.42)</f>
        <v>190751.42</v>
      </c>
      <c r="K823" s="466">
        <f t="shared" ca="1" si="336"/>
        <v>4.0319110650108643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IFERROR(__xludf.DUMMYFUNCTION("IMPORTRANGE(""https://docs.google.com/spreadsheets/d/19vJNZY_5yjcGF2XGBMNZRCAIB0Kwfpjp8YEOfu-bneM/edit?usp=sharing"",""งานกองทุน!H14"")"),130)</f>
        <v>130</v>
      </c>
      <c r="J824" s="270">
        <f ca="1">IFERROR(__xludf.DUMMYFUNCTION("IMPORTRANGE(""https://docs.google.com/spreadsheets/d/19vJNZY_5yjcGF2XGBMNZRCAIB0Kwfpjp8YEOfu-bneM/edit?usp=sharing"",""งานกองทุน!J14"")"),17)</f>
        <v>17</v>
      </c>
      <c r="K824" s="466">
        <f t="shared" ca="1" si="336"/>
        <v>13.076923076923077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IFERROR(__xludf.DUMMYFUNCTION("IMPORTRANGE(""https://docs.google.com/spreadsheets/d/19vJNZY_5yjcGF2XGBMNZRCAIB0Kwfpjp8YEOfu-bneM/edit?usp=sharing"",""งานกองทุน!N14"")"),2427178.3)</f>
        <v>2427178.2999999998</v>
      </c>
      <c r="J825" s="270">
        <f ca="1">IFERROR(__xludf.DUMMYFUNCTION("IMPORTRANGE(""https://docs.google.com/spreadsheets/d/19vJNZY_5yjcGF2XGBMNZRCAIB0Kwfpjp8YEOfu-bneM/edit?usp=sharing"",""งานกองทุน!P14"")"),504596.62)</f>
        <v>504596.62</v>
      </c>
      <c r="K825" s="466">
        <f t="shared" ca="1" si="336"/>
        <v>20.789433557477011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IFERROR(__xludf.DUMMYFUNCTION("IMPORTRANGE(""https://docs.google.com/spreadsheets/d/19vJNZY_5yjcGF2XGBMNZRCAIB0Kwfpjp8YEOfu-bneM/edit?usp=sharing"",""งานกองทุน!M14"")"),277)</f>
        <v>277</v>
      </c>
      <c r="J826" s="270">
        <f ca="1">IFERROR(__xludf.DUMMYFUNCTION("IMPORTRANGE(""https://docs.google.com/spreadsheets/d/19vJNZY_5yjcGF2XGBMNZRCAIB0Kwfpjp8YEOfu-bneM/edit?usp=sharing"",""งานกองทุน!O14"")"),123)</f>
        <v>123</v>
      </c>
      <c r="K826" s="466">
        <f t="shared" ca="1" si="336"/>
        <v>44.404332129963898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IFERROR(__xludf.DUMMYFUNCTION("IMPORTRANGE(""https://docs.google.com/spreadsheets/d/19vJNZY_5yjcGF2XGBMNZRCAIB0Kwfpjp8YEOfu-bneM/edit?usp=sharing"",""งานกองทุน!S14"")"),5000000)</f>
        <v>5000000</v>
      </c>
      <c r="J827" s="270">
        <f ca="1">IFERROR(__xludf.DUMMYFUNCTION("IMPORTRANGE(""https://docs.google.com/spreadsheets/d/19vJNZY_5yjcGF2XGBMNZRCAIB0Kwfpjp8YEOfu-bneM/edit?usp=sharing"",""งานกองทุน!U14"")"),630000)</f>
        <v>630000</v>
      </c>
      <c r="K827" s="466">
        <f t="shared" ca="1" si="336"/>
        <v>12.6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IFERROR(__xludf.DUMMYFUNCTION("IMPORTRANGE(""https://docs.google.com/spreadsheets/d/19vJNZY_5yjcGF2XGBMNZRCAIB0Kwfpjp8YEOfu-bneM/edit?usp=sharing"",""งานกองทุน!R14"")"),188)</f>
        <v>188</v>
      </c>
      <c r="J828" s="469">
        <f ca="1">IFERROR(__xludf.DUMMYFUNCTION("IMPORTRANGE(""https://docs.google.com/spreadsheets/d/19vJNZY_5yjcGF2XGBMNZRCAIB0Kwfpjp8YEOfu-bneM/edit?usp=sharing"",""งานกองทุน!T14"")"),21)</f>
        <v>21</v>
      </c>
      <c r="K828" s="470">
        <f t="shared" ca="1" si="336"/>
        <v>11.170212765957446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3D87B-8EE0-48F0-A4F8-79A719A6A68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4" customWidth="1"/>
    <col min="4" max="6" width="5.85546875" style="804" customWidth="1"/>
    <col min="7" max="7" width="56.42578125" style="804" customWidth="1"/>
    <col min="8" max="8" width="9.42578125" style="804" customWidth="1"/>
    <col min="9" max="9" width="16.85546875" style="804" bestFit="1" customWidth="1"/>
    <col min="10" max="10" width="14.42578125" style="804" bestFit="1" customWidth="1"/>
    <col min="11" max="11" width="12.5703125" style="804" customWidth="1"/>
    <col min="12" max="13" width="20.28515625" style="804" bestFit="1" customWidth="1"/>
    <col min="14" max="14" width="21.28515625" style="804" bestFit="1" customWidth="1"/>
    <col min="15" max="16" width="17.5703125" style="804" customWidth="1"/>
    <col min="17" max="16384" width="12.5703125" style="804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333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7689912</v>
      </c>
      <c r="M8" s="22">
        <f t="shared" ca="1" si="0"/>
        <v>4260881</v>
      </c>
      <c r="N8" s="22">
        <f t="shared" ca="1" si="0"/>
        <v>2737471.7</v>
      </c>
      <c r="O8" s="22">
        <f t="shared" ref="O8:O16" ca="1" si="1">IF(L8&gt;0,N8*100/L8,0)</f>
        <v>35.598218809265958</v>
      </c>
      <c r="P8" s="22">
        <f t="shared" ref="P8:P16" ca="1" si="2">IF(M8&gt;0,N8*100/M8,0)</f>
        <v>64.246612378989226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7689912</v>
      </c>
      <c r="M10" s="30">
        <f t="shared" ca="1" si="3"/>
        <v>4260881</v>
      </c>
      <c r="N10" s="30">
        <f t="shared" ca="1" si="3"/>
        <v>2737471.7</v>
      </c>
      <c r="O10" s="30">
        <f t="shared" ca="1" si="1"/>
        <v>35.598218809265958</v>
      </c>
      <c r="P10" s="30">
        <f t="shared" ca="1" si="2"/>
        <v>64.246612378989226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7262412</v>
      </c>
      <c r="M11" s="466">
        <f t="shared" ca="1" si="4"/>
        <v>3833381</v>
      </c>
      <c r="N11" s="466">
        <f t="shared" ca="1" si="4"/>
        <v>2309971.7000000002</v>
      </c>
      <c r="O11" s="466">
        <f t="shared" ca="1" si="1"/>
        <v>31.807224652085289</v>
      </c>
      <c r="P11" s="466">
        <f t="shared" ca="1" si="2"/>
        <v>60.25938199203263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7262412</v>
      </c>
      <c r="M13" s="93">
        <f t="shared" ca="1" si="5"/>
        <v>3833381</v>
      </c>
      <c r="N13" s="93">
        <f t="shared" ca="1" si="5"/>
        <v>2309971.7000000002</v>
      </c>
      <c r="O13" s="93">
        <f t="shared" ca="1" si="1"/>
        <v>31.807224652085289</v>
      </c>
      <c r="P13" s="93">
        <f t="shared" ca="1" si="2"/>
        <v>60.25938199203263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427500</v>
      </c>
      <c r="M14" s="466">
        <f t="shared" ca="1" si="6"/>
        <v>427500</v>
      </c>
      <c r="N14" s="466">
        <f t="shared" ca="1" si="6"/>
        <v>427500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427500</v>
      </c>
      <c r="M16" s="52">
        <f t="shared" ca="1" si="7"/>
        <v>427500</v>
      </c>
      <c r="N16" s="52">
        <f t="shared" ca="1" si="7"/>
        <v>427500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5405027</v>
      </c>
      <c r="M18" s="22">
        <f t="shared" ca="1" si="8"/>
        <v>4260881</v>
      </c>
      <c r="N18" s="22">
        <f t="shared" ca="1" si="8"/>
        <v>2493250.7000000002</v>
      </c>
      <c r="O18" s="22">
        <f t="shared" ref="O18:O26" ca="1" si="9">IF(L18&gt;0,N18*100/L18,0)</f>
        <v>46.128367166343487</v>
      </c>
      <c r="P18" s="22">
        <f t="shared" ref="P18:P26" ca="1" si="10">IF(M18&gt;0,N18*100/M18,0)</f>
        <v>58.514910414066954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5405027</v>
      </c>
      <c r="M20" s="30">
        <f t="shared" ca="1" si="11"/>
        <v>4260881</v>
      </c>
      <c r="N20" s="30">
        <f t="shared" ca="1" si="11"/>
        <v>2493250.7000000002</v>
      </c>
      <c r="O20" s="30">
        <f t="shared" ca="1" si="9"/>
        <v>46.128367166343487</v>
      </c>
      <c r="P20" s="30">
        <f t="shared" ca="1" si="10"/>
        <v>58.514910414066954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4977527</v>
      </c>
      <c r="M21" s="466">
        <f t="shared" ca="1" si="12"/>
        <v>3833381</v>
      </c>
      <c r="N21" s="466">
        <f t="shared" ca="1" si="12"/>
        <v>2065750.7000000002</v>
      </c>
      <c r="O21" s="466">
        <f t="shared" ca="1" si="9"/>
        <v>41.50154685248318</v>
      </c>
      <c r="P21" s="466">
        <f t="shared" ca="1" si="10"/>
        <v>53.888478604135628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4977527</v>
      </c>
      <c r="M23" s="93">
        <f t="shared" ca="1" si="13"/>
        <v>3833381</v>
      </c>
      <c r="N23" s="93">
        <f t="shared" ca="1" si="13"/>
        <v>2065750.7000000002</v>
      </c>
      <c r="O23" s="93">
        <f t="shared" ca="1" si="9"/>
        <v>41.50154685248318</v>
      </c>
      <c r="P23" s="93">
        <f t="shared" ca="1" si="10"/>
        <v>53.888478604135628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427500</v>
      </c>
      <c r="M24" s="466">
        <f t="shared" ca="1" si="14"/>
        <v>427500</v>
      </c>
      <c r="N24" s="466">
        <f t="shared" ca="1" si="14"/>
        <v>427500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427500</v>
      </c>
      <c r="M26" s="52">
        <f t="shared" ca="1" si="15"/>
        <v>427500</v>
      </c>
      <c r="N26" s="52">
        <f t="shared" ca="1" si="15"/>
        <v>427500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2284885</v>
      </c>
      <c r="M28" s="22">
        <f t="shared" si="16"/>
        <v>0</v>
      </c>
      <c r="N28" s="22">
        <f t="shared" si="16"/>
        <v>244221</v>
      </c>
      <c r="O28" s="22">
        <f t="shared" ref="O28:O37" ca="1" si="17">IF(L28&gt;0,N28*100/L28,0)</f>
        <v>10.688546688345365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2284885</v>
      </c>
      <c r="M30" s="30">
        <f t="shared" si="19"/>
        <v>0</v>
      </c>
      <c r="N30" s="30">
        <f t="shared" si="19"/>
        <v>244221</v>
      </c>
      <c r="O30" s="30">
        <f t="shared" ca="1" si="17"/>
        <v>10.688546688345365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2284885</v>
      </c>
      <c r="M31" s="466">
        <f t="shared" si="20"/>
        <v>0</v>
      </c>
      <c r="N31" s="466">
        <f t="shared" si="20"/>
        <v>244221</v>
      </c>
      <c r="O31" s="466">
        <f t="shared" ca="1" si="17"/>
        <v>10.688546688345365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2284885</v>
      </c>
      <c r="M33" s="93">
        <f t="shared" si="21"/>
        <v>0</v>
      </c>
      <c r="N33" s="93">
        <f t="shared" si="21"/>
        <v>244221</v>
      </c>
      <c r="O33" s="93">
        <f t="shared" ca="1" si="17"/>
        <v>10.688546688345365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5405027</v>
      </c>
      <c r="M37" s="812">
        <f t="shared" ca="1" si="24"/>
        <v>4260881</v>
      </c>
      <c r="N37" s="812">
        <f t="shared" ca="1" si="24"/>
        <v>2493250.7000000002</v>
      </c>
      <c r="O37" s="812">
        <f t="shared" ca="1" si="17"/>
        <v>46.128367166343487</v>
      </c>
      <c r="P37" s="812">
        <f t="shared" ca="1" si="18"/>
        <v>58.514910414066954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705292</v>
      </c>
      <c r="M41" s="85">
        <f t="shared" ca="1" si="25"/>
        <v>715836</v>
      </c>
      <c r="N41" s="85">
        <f t="shared" ca="1" si="25"/>
        <v>326566.96000000002</v>
      </c>
      <c r="O41" s="85">
        <f t="shared" ref="O41:O49" ca="1" si="26">IF(L41&gt;0,N41*100/L41,0)</f>
        <v>46.302376887870558</v>
      </c>
      <c r="P41" s="85">
        <f t="shared" ref="P41:P49" ca="1" si="27">IF(M41&gt;0,N41*100/M41,0)</f>
        <v>45.620359970719555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705292</v>
      </c>
      <c r="M43" s="92">
        <f t="shared" ca="1" si="28"/>
        <v>715836</v>
      </c>
      <c r="N43" s="92">
        <f t="shared" ca="1" si="28"/>
        <v>326566.96000000002</v>
      </c>
      <c r="O43" s="92">
        <f t="shared" ca="1" si="26"/>
        <v>46.302376887870558</v>
      </c>
      <c r="P43" s="92">
        <f t="shared" ca="1" si="27"/>
        <v>45.620359970719555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705292</v>
      </c>
      <c r="M44" s="466">
        <f t="shared" ca="1" si="29"/>
        <v>715836</v>
      </c>
      <c r="N44" s="466">
        <f t="shared" ca="1" si="29"/>
        <v>326566.96000000002</v>
      </c>
      <c r="O44" s="466">
        <f t="shared" ca="1" si="26"/>
        <v>46.302376887870558</v>
      </c>
      <c r="P44" s="466">
        <f t="shared" ca="1" si="27"/>
        <v>45.620359970719555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IFERROR(__xludf.DUMMYFUNCTION("IMPORTRANGE(""https://docs.google.com/spreadsheets/d/1MeEWN-I1oV_STSDYn1IFDPWt_1FKiwhDph83XaGc0o0/edit?usp=sharing"",""งบพรบ!M15"")"),705292)</f>
        <v>705292</v>
      </c>
      <c r="M46" s="93">
        <f ca="1">IFERROR(__xludf.DUMMYFUNCTION("IMPORTRANGE(""https://docs.google.com/spreadsheets/d/1MeEWN-I1oV_STSDYn1IFDPWt_1FKiwhDph83XaGc0o0/edit?usp=sharing"",""งบพรบ!R15"")"),715836)</f>
        <v>715836</v>
      </c>
      <c r="N46" s="93">
        <f ca="1">IFERROR(__xludf.DUMMYFUNCTION("IMPORTRANGE(""https://docs.google.com/spreadsheets/d/1MeEWN-I1oV_STSDYn1IFDPWt_1FKiwhDph83XaGc0o0/edit?usp=sharing"",""งบพรบ!T15"")"),326566.96)</f>
        <v>326566.96000000002</v>
      </c>
      <c r="O46" s="93">
        <f t="shared" ca="1" si="26"/>
        <v>46.302376887870558</v>
      </c>
      <c r="P46" s="93">
        <f t="shared" ca="1" si="27"/>
        <v>45.620359970719555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IFERROR(__xludf.DUMMYFUNCTION("IMPORTRANGE(""https://docs.google.com/spreadsheets/d/1MeEWN-I1oV_STSDYn1IFDPWt_1FKiwhDph83XaGc0o0/edit?usp=sharing"",""งบพรบ!P15"")"),0)</f>
        <v>0</v>
      </c>
      <c r="M49" s="52">
        <f ca="1">IFERROR(__xludf.DUMMYFUNCTION("IMPORTRANGE(""https://docs.google.com/spreadsheets/d/1MeEWN-I1oV_STSDYn1IFDPWt_1FKiwhDph83XaGc0o0/edit?usp=sharing"",""งบพรบ!S15"")"),0)</f>
        <v>0</v>
      </c>
      <c r="N49" s="52">
        <f ca="1">IFERROR(__xludf.DUMMYFUNCTION("IMPORTRANGE(""https://docs.google.com/spreadsheets/d/1MeEWN-I1oV_STSDYn1IFDPWt_1FKiwhDph83XaGc0o0/edit?usp=sharing"",""งบพรบ!U15"")"),0)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779100</v>
      </c>
      <c r="M53" s="116">
        <f t="shared" ca="1" si="31"/>
        <v>592700</v>
      </c>
      <c r="N53" s="116">
        <f t="shared" ca="1" si="31"/>
        <v>429788.5</v>
      </c>
      <c r="O53" s="116">
        <f t="shared" ref="O53:O61" ca="1" si="32">IF(L53&gt;0,N53*100/L53,0)</f>
        <v>55.164741368245409</v>
      </c>
      <c r="P53" s="116">
        <f t="shared" ref="P53:P61" ca="1" si="33">IF(M53&gt;0,N53*100/M53,0)</f>
        <v>72.513666272988019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779100</v>
      </c>
      <c r="M55" s="123">
        <f t="shared" ca="1" si="34"/>
        <v>592700</v>
      </c>
      <c r="N55" s="123">
        <f t="shared" ca="1" si="34"/>
        <v>429788.5</v>
      </c>
      <c r="O55" s="123">
        <f t="shared" ca="1" si="32"/>
        <v>55.164741368245409</v>
      </c>
      <c r="P55" s="123">
        <f t="shared" ca="1" si="33"/>
        <v>72.513666272988019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749200</v>
      </c>
      <c r="M56" s="466">
        <f t="shared" ca="1" si="35"/>
        <v>562800</v>
      </c>
      <c r="N56" s="466">
        <f t="shared" ca="1" si="35"/>
        <v>399888.5</v>
      </c>
      <c r="O56" s="466">
        <f t="shared" ca="1" si="32"/>
        <v>53.375400427122266</v>
      </c>
      <c r="P56" s="466">
        <f t="shared" ca="1" si="33"/>
        <v>71.053393745557926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IFERROR(__xludf.DUMMYFUNCTION("IMPORTRANGE(""https://docs.google.com/spreadsheets/d/1MeEWN-I1oV_STSDYn1IFDPWt_1FKiwhDph83XaGc0o0/edit?usp=sharing"",""งบพรบ!W15"")"),749200)</f>
        <v>749200</v>
      </c>
      <c r="M58" s="93">
        <f ca="1">IFERROR(__xludf.DUMMYFUNCTION("IMPORTRANGE(""https://docs.google.com/spreadsheets/d/1MeEWN-I1oV_STSDYn1IFDPWt_1FKiwhDph83XaGc0o0/edit?usp=sharing"",""งบพรบ!AB15"")"),562800)</f>
        <v>562800</v>
      </c>
      <c r="N58" s="93">
        <f ca="1">IFERROR(__xludf.DUMMYFUNCTION("IMPORTRANGE(""https://docs.google.com/spreadsheets/d/1MeEWN-I1oV_STSDYn1IFDPWt_1FKiwhDph83XaGc0o0/edit?usp=sharing"",""งบพรบ!AD15"")"),399888.5)</f>
        <v>399888.5</v>
      </c>
      <c r="O58" s="93">
        <f t="shared" ca="1" si="32"/>
        <v>53.375400427122266</v>
      </c>
      <c r="P58" s="93">
        <f t="shared" ca="1" si="33"/>
        <v>71.053393745557926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29900</v>
      </c>
      <c r="M59" s="466">
        <f t="shared" ca="1" si="36"/>
        <v>29900</v>
      </c>
      <c r="N59" s="466">
        <f t="shared" ca="1" si="36"/>
        <v>29900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IFERROR(__xludf.DUMMYFUNCTION("IMPORTRANGE(""https://docs.google.com/spreadsheets/d/1MeEWN-I1oV_STSDYn1IFDPWt_1FKiwhDph83XaGc0o0/edit?usp=sharing"",""งบพรบ!Z15"")"),29900)</f>
        <v>29900</v>
      </c>
      <c r="M61" s="52">
        <f ca="1">IFERROR(__xludf.DUMMYFUNCTION("IMPORTRANGE(""https://docs.google.com/spreadsheets/d/1MeEWN-I1oV_STSDYn1IFDPWt_1FKiwhDph83XaGc0o0/edit?usp=sharing"",""งบพรบ!AC15"")"),29900)</f>
        <v>29900</v>
      </c>
      <c r="N61" s="52">
        <f ca="1">IFERROR(__xludf.DUMMYFUNCTION("IMPORTRANGE(""https://docs.google.com/spreadsheets/d/1MeEWN-I1oV_STSDYn1IFDPWt_1FKiwhDph83XaGc0o0/edit?usp=sharing"",""งบพรบ!AE15"")"),29900)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60</v>
      </c>
      <c r="J65" s="144">
        <f t="shared" si="37"/>
        <v>60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552000</v>
      </c>
      <c r="M66" s="155">
        <f t="shared" ca="1" si="39"/>
        <v>430000</v>
      </c>
      <c r="N66" s="155">
        <f t="shared" ca="1" si="39"/>
        <v>139386.66</v>
      </c>
      <c r="O66" s="155">
        <f t="shared" ref="O66:O74" ca="1" si="40">IF(L66&gt;0,N66*100/L66,0)</f>
        <v>25.251206521739132</v>
      </c>
      <c r="P66" s="155">
        <f t="shared" ref="P66:P74" ca="1" si="41">IF(M66&gt;0,N66*100/M66,0)</f>
        <v>32.415502325581393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552000</v>
      </c>
      <c r="M68" s="93">
        <f t="shared" ca="1" si="42"/>
        <v>430000</v>
      </c>
      <c r="N68" s="93">
        <f t="shared" ca="1" si="42"/>
        <v>139386.66</v>
      </c>
      <c r="O68" s="93">
        <f t="shared" ca="1" si="40"/>
        <v>25.251206521739132</v>
      </c>
      <c r="P68" s="93">
        <f t="shared" ca="1" si="41"/>
        <v>32.415502325581393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552000</v>
      </c>
      <c r="M69" s="466">
        <f t="shared" ca="1" si="43"/>
        <v>430000</v>
      </c>
      <c r="N69" s="466">
        <f t="shared" ca="1" si="43"/>
        <v>139386.66</v>
      </c>
      <c r="O69" s="466">
        <f t="shared" ca="1" si="40"/>
        <v>25.251206521739132</v>
      </c>
      <c r="P69" s="466">
        <f t="shared" ca="1" si="41"/>
        <v>32.415502325581393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IFERROR(__xludf.DUMMYFUNCTION("IMPORTRANGE(""https://docs.google.com/spreadsheets/d/1MeEWN-I1oV_STSDYn1IFDPWt_1FKiwhDph83XaGc0o0/edit?usp=sharing"",""งบพรบ!AG15"")"),552000)</f>
        <v>552000</v>
      </c>
      <c r="M71" s="93">
        <f ca="1">IFERROR(__xludf.DUMMYFUNCTION("IMPORTRANGE(""https://docs.google.com/spreadsheets/d/1MeEWN-I1oV_STSDYn1IFDPWt_1FKiwhDph83XaGc0o0/edit?usp=sharing"",""งบพรบ!AL15"")"),430000)</f>
        <v>430000</v>
      </c>
      <c r="N71" s="93">
        <f ca="1">IFERROR(__xludf.DUMMYFUNCTION("IMPORTRANGE(""https://docs.google.com/spreadsheets/d/1MeEWN-I1oV_STSDYn1IFDPWt_1FKiwhDph83XaGc0o0/edit?usp=sharing"",""งบพรบ!AN15"")"),139386.66)</f>
        <v>139386.66</v>
      </c>
      <c r="O71" s="93">
        <f t="shared" ca="1" si="40"/>
        <v>25.251206521739132</v>
      </c>
      <c r="P71" s="93">
        <f t="shared" ca="1" si="41"/>
        <v>32.415502325581393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IFERROR(__xludf.DUMMYFUNCTION("IMPORTRANGE(""https://docs.google.com/spreadsheets/d/1MeEWN-I1oV_STSDYn1IFDPWt_1FKiwhDph83XaGc0o0/edit?usp=sharing"",""งบพรบ!AJ15"")"),0)</f>
        <v>0</v>
      </c>
      <c r="M74" s="93">
        <f ca="1">IFERROR(__xludf.DUMMYFUNCTION("IMPORTRANGE(""https://docs.google.com/spreadsheets/d/1MeEWN-I1oV_STSDYn1IFDPWt_1FKiwhDph83XaGc0o0/edit?usp=sharing"",""งบพรบ!AM15"")"),0)</f>
        <v>0</v>
      </c>
      <c r="N74" s="93">
        <f ca="1">IFERROR(__xludf.DUMMYFUNCTION("IMPORTRANGE(""https://docs.google.com/spreadsheets/d/1MeEWN-I1oV_STSDYn1IFDPWt_1FKiwhDph83XaGc0o0/edit?usp=sharing"",""งบพรบ!AO15"")"),0)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60</v>
      </c>
      <c r="J77" s="270">
        <f t="shared" si="45"/>
        <v>60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IFERROR(__xludf.DUMMYFUNCTION("IMPORTRANGE(""https://docs.google.com/spreadsheets/d/1QqKyyYR6Q21VydFLVH3TRQUabQu_ym0Zz7PgGX0-kHA/edit?usp=sharing"",""แผน!H15"")"),0)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IFERROR(__xludf.DUMMYFUNCTION("IMPORTRANGE(""https://docs.google.com/spreadsheets/d/1QqKyyYR6Q21VydFLVH3TRQUabQu_ym0Zz7PgGX0-kHA/edit?usp=sharing"",""แผน!I15"")"),0)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IFERROR(__xludf.DUMMYFUNCTION("IMPORTRANGE(""https://docs.google.com/spreadsheets/d/1QqKyyYR6Q21VydFLVH3TRQUabQu_ym0Zz7PgGX0-kHA/edit?usp=sharing"",""แผน!F15"")"),1)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IFERROR(__xludf.DUMMYFUNCTION("IMPORTRANGE(""https://docs.google.com/spreadsheets/d/1QqKyyYR6Q21VydFLVH3TRQUabQu_ym0Zz7PgGX0-kHA/edit?usp=sharing"",""แผน!G15"")"),60)</f>
        <v>60</v>
      </c>
      <c r="J81" s="215">
        <v>60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IFERROR(__xludf.DUMMYFUNCTION("IMPORTRANGE(""https://docs.google.com/spreadsheets/d/1QqKyyYR6Q21VydFLVH3TRQUabQu_ym0Zz7PgGX0-kHA/edit?usp=sharing"",""แผน!D15"")"),0)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IFERROR(__xludf.DUMMYFUNCTION("IMPORTRANGE(""https://docs.google.com/spreadsheets/d/1QqKyyYR6Q21VydFLVH3TRQUabQu_ym0Zz7PgGX0-kHA/edit?usp=sharing"",""แผน!E15"")"),0)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IFERROR(__xludf.DUMMYFUNCTION("IMPORTRANGE(""https://docs.google.com/spreadsheets/d/1QqKyyYR6Q21VydFLVH3TRQUabQu_ym0Zz7PgGX0-kHA/edit?usp=sharing"",""แผน!J15"")"),1)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98460</v>
      </c>
      <c r="M88" s="155">
        <f t="shared" ca="1" si="49"/>
        <v>62510</v>
      </c>
      <c r="N88" s="155">
        <f t="shared" ca="1" si="49"/>
        <v>35100</v>
      </c>
      <c r="O88" s="155">
        <f t="shared" ref="O88:O96" ca="1" si="50">IF(L88&gt;0,N88*100/L88,0)</f>
        <v>35.648994515539307</v>
      </c>
      <c r="P88" s="155">
        <f t="shared" ref="P88:P96" ca="1" si="51">IF(M88&gt;0,N88*100/M88,0)</f>
        <v>56.151015837466005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98460</v>
      </c>
      <c r="M90" s="93">
        <f t="shared" ca="1" si="52"/>
        <v>62510</v>
      </c>
      <c r="N90" s="93">
        <f t="shared" ca="1" si="52"/>
        <v>35100</v>
      </c>
      <c r="O90" s="93">
        <f t="shared" ca="1" si="50"/>
        <v>35.648994515539307</v>
      </c>
      <c r="P90" s="93">
        <f t="shared" ca="1" si="51"/>
        <v>56.151015837466005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98460</v>
      </c>
      <c r="M91" s="466">
        <f t="shared" ca="1" si="53"/>
        <v>62510</v>
      </c>
      <c r="N91" s="466">
        <f t="shared" ca="1" si="53"/>
        <v>35100</v>
      </c>
      <c r="O91" s="466">
        <f t="shared" ca="1" si="50"/>
        <v>35.648994515539307</v>
      </c>
      <c r="P91" s="466">
        <f t="shared" ca="1" si="51"/>
        <v>56.151015837466005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IFERROR(__xludf.DUMMYFUNCTION("IMPORTRANGE(""https://docs.google.com/spreadsheets/d/1MeEWN-I1oV_STSDYn1IFDPWt_1FKiwhDph83XaGc0o0/edit?usp=sharing"",""งบพรบ!AQ15"")"),98460)</f>
        <v>98460</v>
      </c>
      <c r="M93" s="93">
        <f ca="1">IFERROR(__xludf.DUMMYFUNCTION("IMPORTRANGE(""https://docs.google.com/spreadsheets/d/1MeEWN-I1oV_STSDYn1IFDPWt_1FKiwhDph83XaGc0o0/edit?usp=sharing"",""งบพรบ!AV15"")"),62510)</f>
        <v>62510</v>
      </c>
      <c r="N93" s="93">
        <f ca="1">IFERROR(__xludf.DUMMYFUNCTION("IMPORTRANGE(""https://docs.google.com/spreadsheets/d/1MeEWN-I1oV_STSDYn1IFDPWt_1FKiwhDph83XaGc0o0/edit?usp=sharing"",""งบพรบ!AX15"")"),35100)</f>
        <v>35100</v>
      </c>
      <c r="O93" s="93">
        <f t="shared" ca="1" si="50"/>
        <v>35.648994515539307</v>
      </c>
      <c r="P93" s="93">
        <f t="shared" ca="1" si="51"/>
        <v>56.151015837466005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IFERROR(__xludf.DUMMYFUNCTION("IMPORTRANGE(""https://docs.google.com/spreadsheets/d/1MeEWN-I1oV_STSDYn1IFDPWt_1FKiwhDph83XaGc0o0/edit?usp=sharing"",""งบพรบ!AT15"")"),0)</f>
        <v>0</v>
      </c>
      <c r="M96" s="93">
        <f ca="1">IFERROR(__xludf.DUMMYFUNCTION("IMPORTRANGE(""https://docs.google.com/spreadsheets/d/1MeEWN-I1oV_STSDYn1IFDPWt_1FKiwhDph83XaGc0o0/edit?usp=sharing"",""งบพรบ!AW15"")"),0)</f>
        <v>0</v>
      </c>
      <c r="N96" s="93">
        <f ca="1">IFERROR(__xludf.DUMMYFUNCTION("IMPORTRANGE(""https://docs.google.com/spreadsheets/d/1MeEWN-I1oV_STSDYn1IFDPWt_1FKiwhDph83XaGc0o0/edit?usp=sharing"",""งบพรบ!AY15"")"),0)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IFERROR(__xludf.DUMMYFUNCTION("IMPORTRANGE(""https://docs.google.com/spreadsheets/d/1QqKyyYR6Q21VydFLVH3TRQUabQu_ym0Zz7PgGX0-kHA/edit?usp=sharing"",""แผน!K15"")"),45)</f>
        <v>45</v>
      </c>
      <c r="J98" s="270">
        <f>J102</f>
        <v>0</v>
      </c>
      <c r="K98" s="466">
        <f t="shared" ref="K98:K100" ca="1" si="55">IF(I98&gt;0,J98*100/I98,0)</f>
        <v>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IFERROR(__xludf.DUMMYFUNCTION("IMPORTRANGE(""https://docs.google.com/spreadsheets/d/1QqKyyYR6Q21VydFLVH3TRQUabQu_ym0Zz7PgGX0-kHA/edit?usp=sharing"",""แผน!L15"")"),15)</f>
        <v>15</v>
      </c>
      <c r="J99" s="270">
        <f>J104</f>
        <v>15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IFERROR(__xludf.DUMMYFUNCTION("IMPORTRANGE(""https://docs.google.com/spreadsheets/d/1QqKyyYR6Q21VydFLVH3TRQUabQu_ym0Zz7PgGX0-kHA/edit?usp=sharing"",""แผน!M15"")"),2)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IFERROR(__xludf.DUMMYFUNCTION("IMPORTRANGE(""https://docs.google.com/spreadsheets/d/1QqKyyYR6Q21VydFLVH3TRQUabQu_ym0Zz7PgGX0-kHA/edit?usp=sharing"",""แผน!N15"")"),45)</f>
        <v>45</v>
      </c>
      <c r="J102" s="215">
        <v>0</v>
      </c>
      <c r="K102" s="466">
        <f t="shared" ref="K102:K104" ca="1" si="56">IF(I102&gt;0,J102*100/I102,0)</f>
        <v>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IFERROR(__xludf.DUMMYFUNCTION("IMPORTRANGE(""https://docs.google.com/spreadsheets/d/1QqKyyYR6Q21VydFLVH3TRQUabQu_ym0Zz7PgGX0-kHA/edit?usp=sharing"",""แผน!O15"")"),15)</f>
        <v>15</v>
      </c>
      <c r="J103" s="215">
        <v>15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IFERROR(__xludf.DUMMYFUNCTION("IMPORTRANGE(""https://docs.google.com/spreadsheets/d/1QqKyyYR6Q21VydFLVH3TRQUabQu_ym0Zz7PgGX0-kHA/edit?usp=sharing"",""แผน!O15"")"),15)</f>
        <v>15</v>
      </c>
      <c r="J104" s="215">
        <v>15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IFERROR(__xludf.DUMMYFUNCTION("IMPORTRANGE(""https://docs.google.com/spreadsheets/d/1QqKyyYR6Q21VydFLVH3TRQUabQu_ym0Zz7PgGX0-kHA/edit?usp=sharing"",""แผน!P15"")"),1)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IFERROR(__xludf.DUMMYFUNCTION("IMPORTRANGE(""https://docs.google.com/spreadsheets/d/1QqKyyYR6Q21VydFLVH3TRQUabQu_ym0Zz7PgGX0-kHA/edit?usp=sharing"",""แผน!P15"")"),1)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IFERROR(__xludf.DUMMYFUNCTION("IMPORTRANGE(""https://docs.google.com/spreadsheets/d/1QqKyyYR6Q21VydFLVH3TRQUabQu_ym0Zz7PgGX0-kHA/edit?usp=sharing"",""แผน!Q15"")"),1)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IFERROR(__xludf.DUMMYFUNCTION("IMPORTRANGE(""https://docs.google.com/spreadsheets/d/1QqKyyYR6Q21VydFLVH3TRQUabQu_ym0Zz7PgGX0-kHA/edit?usp=sharing"",""แผน!Q15"")"),1)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IFERROR(__xludf.DUMMYFUNCTION("IMPORTRANGE(""https://docs.google.com/spreadsheets/d/1QqKyyYR6Q21VydFLVH3TRQUabQu_ym0Zz7PgGX0-kHA/edit?usp=sharing"",""แผน!R15"")"),15)</f>
        <v>15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IFERROR(__xludf.DUMMYFUNCTION("IMPORTRANGE(""https://docs.google.com/spreadsheets/d/1QqKyyYR6Q21VydFLVH3TRQUabQu_ym0Zz7PgGX0-kHA/edit?usp=sharing"",""แผน!R15"")"),15)</f>
        <v>15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IFERROR(__xludf.DUMMYFUNCTION("IMPORTRANGE(""https://docs.google.com/spreadsheets/d/1QqKyyYR6Q21VydFLVH3TRQUabQu_ym0Zz7PgGX0-kHA/edit?usp=sharing"",""แผน!R15"")"),15)</f>
        <v>15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IFERROR(__xludf.DUMMYFUNCTION("IMPORTRANGE(""https://docs.google.com/spreadsheets/d/1QqKyyYR6Q21VydFLVH3TRQUabQu_ym0Zz7PgGX0-kHA/edit?usp=sharing"",""แผน!S15"")"),1)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IFERROR(__xludf.DUMMYFUNCTION("IMPORTRANGE(""https://docs.google.com/spreadsheets/d/1QqKyyYR6Q21VydFLVH3TRQUabQu_ym0Zz7PgGX0-kHA/edit?usp=sharing"",""แผน!T15"")"),1)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IFERROR(__xludf.DUMMYFUNCTION("IMPORTRANGE(""https://docs.google.com/spreadsheets/d/1MeEWN-I1oV_STSDYn1IFDPWt_1FKiwhDph83XaGc0o0/edit?usp=sharing"",""งบพรบ!BA15"")"),0)</f>
        <v>0</v>
      </c>
      <c r="M124" s="93">
        <f ca="1">IFERROR(__xludf.DUMMYFUNCTION("IMPORTRANGE(""https://docs.google.com/spreadsheets/d/1MeEWN-I1oV_STSDYn1IFDPWt_1FKiwhDph83XaGc0o0/edit?usp=sharing"",""งบพรบ!BF15"")"),0)</f>
        <v>0</v>
      </c>
      <c r="N124" s="93">
        <f ca="1">IFERROR(__xludf.DUMMYFUNCTION("IMPORTRANGE(""https://docs.google.com/spreadsheets/d/1MeEWN-I1oV_STSDYn1IFDPWt_1FKiwhDph83XaGc0o0/edit?usp=sharing"",""งบพรบ!BH15"")"),0)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IFERROR(__xludf.DUMMYFUNCTION("IMPORTRANGE(""https://docs.google.com/spreadsheets/d/1MeEWN-I1oV_STSDYn1IFDPWt_1FKiwhDph83XaGc0o0/edit?usp=sharing"",""งบพรบ!BD15"")"),0)</f>
        <v>0</v>
      </c>
      <c r="M127" s="93">
        <f ca="1">IFERROR(__xludf.DUMMYFUNCTION("IMPORTRANGE(""https://docs.google.com/spreadsheets/d/1MeEWN-I1oV_STSDYn1IFDPWt_1FKiwhDph83XaGc0o0/edit?usp=sharing"",""งบพรบ!BG15"")"),0)</f>
        <v>0</v>
      </c>
      <c r="N127" s="93">
        <f ca="1">IFERROR(__xludf.DUMMYFUNCTION("IMPORTRANGE(""https://docs.google.com/spreadsheets/d/1MeEWN-I1oV_STSDYn1IFDPWt_1FKiwhDph83XaGc0o0/edit?usp=sharing"",""งบพรบ!BI15"")"),0)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337220</v>
      </c>
      <c r="O132" s="155">
        <f t="shared" ref="O132:O140" ca="1" si="70">IF(L132&gt;0,N132*100/L132,0)</f>
        <v>74.119987251766617</v>
      </c>
      <c r="P132" s="155">
        <f t="shared" ref="P132:P140" ca="1" si="71">IF(M132&gt;0,N132*100/M132,0)</f>
        <v>76.536541080344989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337220</v>
      </c>
      <c r="O134" s="93">
        <f t="shared" ca="1" si="70"/>
        <v>74.119987251766617</v>
      </c>
      <c r="P134" s="93">
        <f t="shared" ca="1" si="71"/>
        <v>76.536541080344989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145965</v>
      </c>
      <c r="M135" s="466">
        <f t="shared" ca="1" si="73"/>
        <v>131600</v>
      </c>
      <c r="N135" s="466">
        <f t="shared" ca="1" si="73"/>
        <v>28220</v>
      </c>
      <c r="O135" s="466">
        <f t="shared" ca="1" si="70"/>
        <v>19.333401842907545</v>
      </c>
      <c r="P135" s="466">
        <f t="shared" ca="1" si="71"/>
        <v>21.443768996960486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IFERROR(__xludf.DUMMYFUNCTION("IMPORTRANGE(""https://docs.google.com/spreadsheets/d/1MeEWN-I1oV_STSDYn1IFDPWt_1FKiwhDph83XaGc0o0/edit?usp=sharing"",""งบพรบ!BK15"")"),145965)</f>
        <v>145965</v>
      </c>
      <c r="M137" s="93">
        <f ca="1">IFERROR(__xludf.DUMMYFUNCTION("IMPORTRANGE(""https://docs.google.com/spreadsheets/d/1MeEWN-I1oV_STSDYn1IFDPWt_1FKiwhDph83XaGc0o0/edit?usp=sharing"",""งบพรบ!BP15"")"),131600)</f>
        <v>131600</v>
      </c>
      <c r="N137" s="93">
        <f ca="1">IFERROR(__xludf.DUMMYFUNCTION("IMPORTRANGE(""https://docs.google.com/spreadsheets/d/1MeEWN-I1oV_STSDYn1IFDPWt_1FKiwhDph83XaGc0o0/edit?usp=sharing"",""งบพรบ!BR15"")"),28220)</f>
        <v>28220</v>
      </c>
      <c r="O137" s="93">
        <f t="shared" ca="1" si="70"/>
        <v>19.333401842907545</v>
      </c>
      <c r="P137" s="93">
        <f t="shared" ca="1" si="71"/>
        <v>21.443768996960486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309000</v>
      </c>
      <c r="M138" s="466">
        <f t="shared" ca="1" si="74"/>
        <v>309000</v>
      </c>
      <c r="N138" s="466">
        <f t="shared" ca="1" si="74"/>
        <v>309000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IFERROR(__xludf.DUMMYFUNCTION("IMPORTRANGE(""https://docs.google.com/spreadsheets/d/1MeEWN-I1oV_STSDYn1IFDPWt_1FKiwhDph83XaGc0o0/edit?usp=sharing"",""งบพรบ!BN15"")"),309000)</f>
        <v>309000</v>
      </c>
      <c r="M140" s="93">
        <f ca="1">IFERROR(__xludf.DUMMYFUNCTION("IMPORTRANGE(""https://docs.google.com/spreadsheets/d/1MeEWN-I1oV_STSDYn1IFDPWt_1FKiwhDph83XaGc0o0/edit?usp=sharing"",""งบพรบ!BQ15"")"),309000)</f>
        <v>309000</v>
      </c>
      <c r="N140" s="93">
        <f ca="1">IFERROR(__xludf.DUMMYFUNCTION("IMPORTRANGE(""https://docs.google.com/spreadsheets/d/1MeEWN-I1oV_STSDYn1IFDPWt_1FKiwhDph83XaGc0o0/edit?usp=sharing"",""งบพรบ!BS15"")"),309000)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IFERROR(__xludf.DUMMYFUNCTION("IMPORTRANGE(""https://docs.google.com/spreadsheets/d/1QqKyyYR6Q21VydFLVH3TRQUabQu_ym0Zz7PgGX0-kHA/edit?usp=sharing"",""แผน!U15"")"),15)</f>
        <v>15</v>
      </c>
      <c r="J144" s="215">
        <v>15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IFERROR(__xludf.DUMMYFUNCTION("IMPORTRANGE(""https://docs.google.com/spreadsheets/d/1QqKyyYR6Q21VydFLVH3TRQUabQu_ym0Zz7PgGX0-kHA/edit?usp=sharing"",""แผน!V15"")"),30)</f>
        <v>30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IFERROR(__xludf.DUMMYFUNCTION("IMPORTRANGE(""https://docs.google.com/spreadsheets/d/1QqKyyYR6Q21VydFLVH3TRQUabQu_ym0Zz7PgGX0-kHA/edit?usp=sharing"",""แผน!W15"")"),3)</f>
        <v>3</v>
      </c>
      <c r="J146" s="215">
        <v>3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2740</v>
      </c>
      <c r="O149" s="155">
        <f t="shared" ref="O149:O157" ca="1" si="78">IF(L149&gt;0,N149*100/L149,0)</f>
        <v>27.4</v>
      </c>
      <c r="P149" s="155">
        <f t="shared" ref="P149:P157" ca="1" si="79">IF(M149&gt;0,N149*100/M149,0)</f>
        <v>27.4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2740</v>
      </c>
      <c r="O151" s="93">
        <f t="shared" ca="1" si="78"/>
        <v>27.4</v>
      </c>
      <c r="P151" s="93">
        <f t="shared" ca="1" si="79"/>
        <v>27.4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10000</v>
      </c>
      <c r="N152" s="466">
        <f t="shared" ca="1" si="81"/>
        <v>2740</v>
      </c>
      <c r="O152" s="466">
        <f t="shared" ca="1" si="78"/>
        <v>27.4</v>
      </c>
      <c r="P152" s="466">
        <f t="shared" ca="1" si="79"/>
        <v>27.4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IFERROR(__xludf.DUMMYFUNCTION("IMPORTRANGE(""https://docs.google.com/spreadsheets/d/1MeEWN-I1oV_STSDYn1IFDPWt_1FKiwhDph83XaGc0o0/edit?usp=sharing"",""งบพรบ!BU15"")"),10000)</f>
        <v>10000</v>
      </c>
      <c r="M154" s="93">
        <f ca="1">IFERROR(__xludf.DUMMYFUNCTION("IMPORTRANGE(""https://docs.google.com/spreadsheets/d/1MeEWN-I1oV_STSDYn1IFDPWt_1FKiwhDph83XaGc0o0/edit?usp=sharing"",""งบพรบ!BZ15"")"),10000)</f>
        <v>10000</v>
      </c>
      <c r="N154" s="93">
        <f ca="1">IFERROR(__xludf.DUMMYFUNCTION("IMPORTRANGE(""https://docs.google.com/spreadsheets/d/1MeEWN-I1oV_STSDYn1IFDPWt_1FKiwhDph83XaGc0o0/edit?usp=sharing"",""งบพรบ!CB15"")"),2740)</f>
        <v>2740</v>
      </c>
      <c r="O154" s="93">
        <f t="shared" ca="1" si="78"/>
        <v>27.4</v>
      </c>
      <c r="P154" s="93">
        <f t="shared" ca="1" si="79"/>
        <v>27.4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IFERROR(__xludf.DUMMYFUNCTION("IMPORTRANGE(""https://docs.google.com/spreadsheets/d/1MeEWN-I1oV_STSDYn1IFDPWt_1FKiwhDph83XaGc0o0/edit?usp=sharing"",""งบพรบ!BX15"")"),0)</f>
        <v>0</v>
      </c>
      <c r="M157" s="93">
        <f ca="1">IFERROR(__xludf.DUMMYFUNCTION("IMPORTRANGE(""https://docs.google.com/spreadsheets/d/1MeEWN-I1oV_STSDYn1IFDPWt_1FKiwhDph83XaGc0o0/edit?usp=sharing"",""งบพรบ!CA15"")"),0)</f>
        <v>0</v>
      </c>
      <c r="N157" s="93">
        <f ca="1">IFERROR(__xludf.DUMMYFUNCTION("IMPORTRANGE(""https://docs.google.com/spreadsheets/d/1MeEWN-I1oV_STSDYn1IFDPWt_1FKiwhDph83XaGc0o0/edit?usp=sharing"",""งบพรบ!CC15"")"),0)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IFERROR(__xludf.DUMMYFUNCTION("IMPORTRANGE(""https://docs.google.com/spreadsheets/d/1QqKyyYR6Q21VydFLVH3TRQUabQu_ym0Zz7PgGX0-kHA/edit?usp=sharing"",""แผน!X15"")"),20)</f>
        <v>20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42020</v>
      </c>
      <c r="N165" s="155">
        <f t="shared" ca="1" si="84"/>
        <v>20560</v>
      </c>
      <c r="O165" s="155">
        <f t="shared" ref="O165:O173" ca="1" si="85">IF(L165&gt;0,N165*100/L165,0)</f>
        <v>97.672209026128272</v>
      </c>
      <c r="P165" s="155">
        <f t="shared" ref="P165:P173" ca="1" si="86">IF(M165&gt;0,N165*100/M165,0)</f>
        <v>48.929081389814371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21050</v>
      </c>
      <c r="M167" s="93">
        <f t="shared" ca="1" si="87"/>
        <v>42020</v>
      </c>
      <c r="N167" s="93">
        <f t="shared" ca="1" si="87"/>
        <v>20560</v>
      </c>
      <c r="O167" s="93">
        <f t="shared" ca="1" si="85"/>
        <v>97.672209026128272</v>
      </c>
      <c r="P167" s="93">
        <f t="shared" ca="1" si="86"/>
        <v>48.929081389814371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42020</v>
      </c>
      <c r="N168" s="466">
        <f t="shared" ca="1" si="88"/>
        <v>20560</v>
      </c>
      <c r="O168" s="466">
        <f t="shared" ca="1" si="85"/>
        <v>97.672209026128272</v>
      </c>
      <c r="P168" s="466">
        <f t="shared" ca="1" si="86"/>
        <v>48.929081389814371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IFERROR(__xludf.DUMMYFUNCTION("IMPORTRANGE(""https://docs.google.com/spreadsheets/d/1MeEWN-I1oV_STSDYn1IFDPWt_1FKiwhDph83XaGc0o0/edit?usp=sharing"",""งบพรบ!CE15"")"),21050)</f>
        <v>21050</v>
      </c>
      <c r="M170" s="93">
        <f ca="1">IFERROR(__xludf.DUMMYFUNCTION("IMPORTRANGE(""https://docs.google.com/spreadsheets/d/1MeEWN-I1oV_STSDYn1IFDPWt_1FKiwhDph83XaGc0o0/edit?usp=sharing"",""งบพรบ!CJ15"")"),42020)</f>
        <v>42020</v>
      </c>
      <c r="N170" s="93">
        <f ca="1">IFERROR(__xludf.DUMMYFUNCTION("IMPORTRANGE(""https://docs.google.com/spreadsheets/d/1MeEWN-I1oV_STSDYn1IFDPWt_1FKiwhDph83XaGc0o0/edit?usp=sharing"",""งบพรบ!CL15"")"),20560)</f>
        <v>20560</v>
      </c>
      <c r="O170" s="93">
        <f t="shared" ca="1" si="85"/>
        <v>97.672209026128272</v>
      </c>
      <c r="P170" s="93">
        <f t="shared" ca="1" si="86"/>
        <v>48.929081389814371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IFERROR(__xludf.DUMMYFUNCTION("IMPORTRANGE(""https://docs.google.com/spreadsheets/d/1MeEWN-I1oV_STSDYn1IFDPWt_1FKiwhDph83XaGc0o0/edit?usp=sharing"",""งบพรบ!CH15"")"),0)</f>
        <v>0</v>
      </c>
      <c r="M173" s="93">
        <f ca="1">IFERROR(__xludf.DUMMYFUNCTION("IMPORTRANGE(""https://docs.google.com/spreadsheets/d/1MeEWN-I1oV_STSDYn1IFDPWt_1FKiwhDph83XaGc0o0/edit?usp=sharing"",""งบพรบ!CK15"")"),0)</f>
        <v>0</v>
      </c>
      <c r="N173" s="93">
        <f ca="1">IFERROR(__xludf.DUMMYFUNCTION("IMPORTRANGE(""https://docs.google.com/spreadsheets/d/1MeEWN-I1oV_STSDYn1IFDPWt_1FKiwhDph83XaGc0o0/edit?usp=sharing"",""งบพรบ!CM15"")"),0)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IFERROR(__xludf.DUMMYFUNCTION("IMPORTRANGE(""https://docs.google.com/spreadsheets/d/1QqKyyYR6Q21VydFLVH3TRQUabQu_ym0Zz7PgGX0-kHA/edit?usp=sharing"",""แผน!Y15"")"),10)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612200</v>
      </c>
      <c r="M181" s="155">
        <f t="shared" ca="1" si="92"/>
        <v>469025</v>
      </c>
      <c r="N181" s="155">
        <f t="shared" ca="1" si="92"/>
        <v>281772.59999999998</v>
      </c>
      <c r="O181" s="155">
        <f t="shared" ref="O181:O189" ca="1" si="93">IF(L181&gt;0,N181*100/L181,0)</f>
        <v>46.026233257105517</v>
      </c>
      <c r="P181" s="155">
        <f t="shared" ref="P181:P189" ca="1" si="94">IF(M181&gt;0,N181*100/M181,0)</f>
        <v>60.076243270614562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612200</v>
      </c>
      <c r="M183" s="93">
        <f t="shared" ca="1" si="95"/>
        <v>469025</v>
      </c>
      <c r="N183" s="93">
        <f t="shared" ca="1" si="95"/>
        <v>281772.59999999998</v>
      </c>
      <c r="O183" s="93">
        <f t="shared" ca="1" si="93"/>
        <v>46.026233257105517</v>
      </c>
      <c r="P183" s="93">
        <f t="shared" ca="1" si="94"/>
        <v>60.076243270614562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6">L185+L186</f>
        <v>612200</v>
      </c>
      <c r="M184" s="466">
        <f t="shared" ca="1" si="96"/>
        <v>469025</v>
      </c>
      <c r="N184" s="466">
        <f t="shared" ca="1" si="96"/>
        <v>281772.59999999998</v>
      </c>
      <c r="O184" s="466">
        <f t="shared" ca="1" si="93"/>
        <v>46.026233257105517</v>
      </c>
      <c r="P184" s="466">
        <f t="shared" ca="1" si="94"/>
        <v>60.076243270614562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IFERROR(__xludf.DUMMYFUNCTION("IMPORTRANGE(""https://docs.google.com/spreadsheets/d/1MeEWN-I1oV_STSDYn1IFDPWt_1FKiwhDph83XaGc0o0/edit?usp=sharing"",""งบพรบ!CO15"")"),612200)</f>
        <v>612200</v>
      </c>
      <c r="M186" s="93">
        <f ca="1">IFERROR(__xludf.DUMMYFUNCTION("IMPORTRANGE(""https://docs.google.com/spreadsheets/d/1MeEWN-I1oV_STSDYn1IFDPWt_1FKiwhDph83XaGc0o0/edit?usp=sharing"",""งบพรบ!CT15"")"),469025)</f>
        <v>469025</v>
      </c>
      <c r="N186" s="93">
        <f ca="1">IFERROR(__xludf.DUMMYFUNCTION("IMPORTRANGE(""https://docs.google.com/spreadsheets/d/1MeEWN-I1oV_STSDYn1IFDPWt_1FKiwhDph83XaGc0o0/edit?usp=sharing"",""งบพรบ!CV15"")"),281772.6)</f>
        <v>281772.59999999998</v>
      </c>
      <c r="O186" s="93">
        <f t="shared" ca="1" si="93"/>
        <v>46.026233257105517</v>
      </c>
      <c r="P186" s="93">
        <f t="shared" ca="1" si="94"/>
        <v>60.076243270614562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IFERROR(__xludf.DUMMYFUNCTION("IMPORTRANGE(""https://docs.google.com/spreadsheets/d/1MeEWN-I1oV_STSDYn1IFDPWt_1FKiwhDph83XaGc0o0/edit?usp=sharing"",""งบพรบ!CR15"")"),0)</f>
        <v>0</v>
      </c>
      <c r="M189" s="93">
        <f ca="1">IFERROR(__xludf.DUMMYFUNCTION("IMPORTRANGE(""https://docs.google.com/spreadsheets/d/1MeEWN-I1oV_STSDYn1IFDPWt_1FKiwhDph83XaGc0o0/edit?usp=sharing"",""งบพรบ!CU15"")"),0)</f>
        <v>0</v>
      </c>
      <c r="N189" s="93">
        <f ca="1">IFERROR(__xludf.DUMMYFUNCTION("IMPORTRANGE(""https://docs.google.com/spreadsheets/d/1MeEWN-I1oV_STSDYn1IFDPWt_1FKiwhDph83XaGc0o0/edit?usp=sharing"",""งบพรบ!CW15"")"),0)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IFERROR(__xludf.DUMMYFUNCTION("IMPORTRANGE(""https://docs.google.com/spreadsheets/d/1QqKyyYR6Q21VydFLVH3TRQUabQu_ym0Zz7PgGX0-kHA/edit?usp=sharing"",""แผน!Z15"")"),6000)</f>
        <v>6000</v>
      </c>
      <c r="M191" s="155"/>
      <c r="N191" s="276">
        <v>120</v>
      </c>
      <c r="O191" s="155">
        <f ca="1">IF(L191&gt;0,N191*100/L191,0)</f>
        <v>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IFERROR(__xludf.DUMMYFUNCTION("IMPORTRANGE(""https://docs.google.com/spreadsheets/d/1QqKyyYR6Q21VydFLVH3TRQUabQu_ym0Zz7PgGX0-kHA/edit?usp=sharing"",""แผน!AC15"")"),4)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20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20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65000</v>
      </c>
      <c r="M198" s="155"/>
      <c r="N198" s="155">
        <f>N199+N200+N201+N202</f>
        <v>33670</v>
      </c>
      <c r="O198" s="155">
        <f ca="1">IF(L198&gt;0,N198*100/L198,0)</f>
        <v>51.8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IFERROR(__xludf.DUMMYFUNCTION("IMPORTRANGE(""https://docs.google.com/spreadsheets/d/1QqKyyYR6Q21VydFLVH3TRQUabQu_ym0Zz7PgGX0-kHA/edit?usp=sharing"",""แผน!AE15"")"),5000)</f>
        <v>5000</v>
      </c>
      <c r="M199" s="466"/>
      <c r="N199" s="801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IFERROR(__xludf.DUMMYFUNCTION("IMPORTRANGE(""https://docs.google.com/spreadsheets/d/1QqKyyYR6Q21VydFLVH3TRQUabQu_ym0Zz7PgGX0-kHA/edit?usp=sharing"",""แผน!AF15"")"),40000)</f>
        <v>40000</v>
      </c>
      <c r="M200" s="466"/>
      <c r="N200" s="801">
        <v>33670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IFERROR(__xludf.DUMMYFUNCTION("IMPORTRANGE(""https://docs.google.com/spreadsheets/d/1QqKyyYR6Q21VydFLVH3TRQUabQu_ym0Zz7PgGX0-kHA/edit?usp=sharing"",""แผน!AG15"")"),20000)</f>
        <v>20000</v>
      </c>
      <c r="M201" s="466"/>
      <c r="N201" s="801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IFERROR(__xludf.DUMMYFUNCTION("IMPORTRANGE(""https://docs.google.com/spreadsheets/d/1QqKyyYR6Q21VydFLVH3TRQUabQu_ym0Zz7PgGX0-kHA/edit?usp=sharing"",""แผน!AH15"")"),0)</f>
        <v>0</v>
      </c>
      <c r="M202" s="466"/>
      <c r="N202" s="801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IFERROR(__xludf.DUMMYFUNCTION("IMPORTRANGE(""https://docs.google.com/spreadsheets/d/1QqKyyYR6Q21VydFLVH3TRQUabQu_ym0Zz7PgGX0-kHA/edit?usp=sharing"",""แผน!AI15"")"),5)</f>
        <v>5</v>
      </c>
      <c r="J204" s="215">
        <v>5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5</v>
      </c>
      <c r="J206" s="215">
        <v>5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IFERROR(__xludf.DUMMYFUNCTION("IMPORTRANGE(""https://docs.google.com/spreadsheets/d/1QqKyyYR6Q21VydFLVH3TRQUabQu_ym0Zz7PgGX0-kHA/edit?usp=sharing"",""แผน!AK15"")"),0)</f>
        <v>0</v>
      </c>
      <c r="M210" s="466"/>
      <c r="N210" s="801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IFERROR(__xludf.DUMMYFUNCTION("IMPORTRANGE(""https://docs.google.com/spreadsheets/d/1QqKyyYR6Q21VydFLVH3TRQUabQu_ym0Zz7PgGX0-kHA/edit?usp=sharing"",""แผน!AL15"")"),0)</f>
        <v>0</v>
      </c>
      <c r="M211" s="466"/>
      <c r="N211" s="801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IFERROR(__xludf.DUMMYFUNCTION("IMPORTRANGE(""https://docs.google.com/spreadsheets/d/1QqKyyYR6Q21VydFLVH3TRQUabQu_ym0Zz7PgGX0-kHA/edit?usp=sharing"",""แผน!AM15"")"),0)</f>
        <v>0</v>
      </c>
      <c r="M212" s="466"/>
      <c r="N212" s="801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IFERROR(__xludf.DUMMYFUNCTION("IMPORTRANGE(""https://docs.google.com/spreadsheets/d/1QqKyyYR6Q21VydFLVH3TRQUabQu_ym0Zz7PgGX0-kHA/edit?usp=sharing"",""แผน!AN15"")"),0)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IFERROR(__xludf.DUMMYFUNCTION("IMPORTRANGE(""https://docs.google.com/spreadsheets/d/1QqKyyYR6Q21VydFLVH3TRQUabQu_ym0Zz7PgGX0-kHA/edit?usp=sharing"",""แผน!AN15"")"),0)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28500</v>
      </c>
      <c r="M217" s="155"/>
      <c r="N217" s="155">
        <f>N218+N219+N220</f>
        <v>9995</v>
      </c>
      <c r="O217" s="155">
        <f ca="1">IF(L217&gt;0,N217*100/L217,0)</f>
        <v>35.070175438596493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IFERROR(__xludf.DUMMYFUNCTION("IMPORTRANGE(""https://docs.google.com/spreadsheets/d/1QqKyyYR6Q21VydFLVH3TRQUabQu_ym0Zz7PgGX0-kHA/edit?usp=sharing"",""แผน!AP15"")"),5000)</f>
        <v>5000</v>
      </c>
      <c r="M218" s="466"/>
      <c r="N218" s="801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IFERROR(__xludf.DUMMYFUNCTION("IMPORTRANGE(""https://docs.google.com/spreadsheets/d/1QqKyyYR6Q21VydFLVH3TRQUabQu_ym0Zz7PgGX0-kHA/edit?usp=sharing"",""แผน!AQ15"")"),13500)</f>
        <v>13500</v>
      </c>
      <c r="M219" s="466"/>
      <c r="N219" s="801"/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IFERROR(__xludf.DUMMYFUNCTION("IMPORTRANGE(""https://docs.google.com/spreadsheets/d/1QqKyyYR6Q21VydFLVH3TRQUabQu_ym0Zz7PgGX0-kHA/edit?usp=sharing"",""แผน!AR15"")"),10000)</f>
        <v>10000</v>
      </c>
      <c r="M220" s="466"/>
      <c r="N220" s="801">
        <v>9995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IFERROR(__xludf.DUMMYFUNCTION("IMPORTRANGE(""https://docs.google.com/spreadsheets/d/1QqKyyYR6Q21VydFLVH3TRQUabQu_ym0Zz7PgGX0-kHA/edit?usp=sharing"",""แผน!AT15"")"),50000)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IFERROR(__xludf.DUMMYFUNCTION("IMPORTRANGE(""https://docs.google.com/spreadsheets/d/1QqKyyYR6Q21VydFLVH3TRQUabQu_ym0Zz7PgGX0-kHA/edit?usp=sharing"",""แผน!AT15"")"),50000)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IFERROR(__xludf.DUMMYFUNCTION("IMPORTRANGE(""https://docs.google.com/spreadsheets/d/1QqKyyYR6Q21VydFLVH3TRQUabQu_ym0Zz7PgGX0-kHA/edit?usp=sharing"",""แผน!AS15"")"),10)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5">I237+I248</f>
        <v>0</v>
      </c>
      <c r="J226" s="821">
        <f t="shared" si="105"/>
        <v>0</v>
      </c>
      <c r="K226" s="82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6">L238+L249</f>
        <v>0</v>
      </c>
      <c r="M227" s="831"/>
      <c r="N227" s="831">
        <f t="shared" ref="N227:N231" si="107">N238+N249</f>
        <v>0</v>
      </c>
      <c r="O227" s="832"/>
      <c r="P227" s="83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35"/>
      <c r="R229" s="835"/>
      <c r="S229" s="835"/>
      <c r="T229" s="835"/>
      <c r="U229" s="835"/>
      <c r="V229" s="835"/>
      <c r="W229" s="835"/>
      <c r="X229" s="835"/>
      <c r="Y229" s="835"/>
      <c r="Z229" s="835"/>
    </row>
    <row r="230" spans="1:2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35"/>
      <c r="R230" s="835"/>
      <c r="S230" s="835"/>
      <c r="T230" s="835"/>
      <c r="U230" s="835"/>
      <c r="V230" s="835"/>
      <c r="W230" s="835"/>
      <c r="X230" s="835"/>
      <c r="Y230" s="835"/>
      <c r="Z230" s="835"/>
    </row>
    <row r="231" spans="1:2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35"/>
      <c r="R231" s="835"/>
      <c r="S231" s="835"/>
      <c r="T231" s="835"/>
      <c r="U231" s="835"/>
      <c r="V231" s="835"/>
      <c r="W231" s="835"/>
      <c r="X231" s="835"/>
      <c r="Y231" s="835"/>
      <c r="Z231" s="835"/>
    </row>
    <row r="232" spans="1:2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IFERROR(__xludf.DUMMYFUNCTION("IMPORTRANGE(""https://docs.google.com/spreadsheets/d/1QqKyyYR6Q21VydFLVH3TRQUabQu_ym0Zz7PgGX0-kHA/edit?usp=sharing"",""แผน!AV15"")"),0)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IFERROR(__xludf.DUMMYFUNCTION("IMPORTRANGE(""https://docs.google.com/spreadsheets/d/1QqKyyYR6Q21VydFLVH3TRQUabQu_ym0Zz7PgGX0-kHA/edit?usp=sharing"",""แผน!AW15"")"),0)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IFERROR(__xludf.DUMMYFUNCTION("IMPORTRANGE(""https://docs.google.com/spreadsheets/d/1QqKyyYR6Q21VydFLVH3TRQUabQu_ym0Zz7PgGX0-kHA/edit?usp=sharing"",""แผน!AX15"")"),0)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IFERROR(__xludf.DUMMYFUNCTION("IMPORTRANGE(""https://docs.google.com/spreadsheets/d/1QqKyyYR6Q21VydFLVH3TRQUabQu_ym0Zz7PgGX0-kHA/edit?usp=sharing"",""แผน!AY15"")"),0)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IFERROR(__xludf.DUMMYFUNCTION("IMPORTRANGE(""https://docs.google.com/spreadsheets/d/1QqKyyYR6Q21VydFLVH3TRQUabQu_ym0Zz7PgGX0-kHA/edit?usp=sharing"",""แผน!BE15"")"),0)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IFERROR(__xludf.DUMMYFUNCTION("IMPORTRANGE(""https://docs.google.com/spreadsheets/d/1QqKyyYR6Q21VydFLVH3TRQUabQu_ym0Zz7PgGX0-kHA/edit?usp=sharing"",""แผน!AZ15"")"),0)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IFERROR(__xludf.DUMMYFUNCTION("IMPORTRANGE(""https://docs.google.com/spreadsheets/d/1QqKyyYR6Q21VydFLVH3TRQUabQu_ym0Zz7PgGX0-kHA/edit?usp=sharing"",""แผน!BA15"")"),0)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IFERROR(__xludf.DUMMYFUNCTION("IMPORTRANGE(""https://docs.google.com/spreadsheets/d/1QqKyyYR6Q21VydFLVH3TRQUabQu_ym0Zz7PgGX0-kHA/edit?usp=sharing"",""แผน!BB15"")"),0)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IFERROR(__xludf.DUMMYFUNCTION("IMPORTRANGE(""https://docs.google.com/spreadsheets/d/1QqKyyYR6Q21VydFLVH3TRQUabQu_ym0Zz7PgGX0-kHA/edit?usp=sharing"",""แผน!BC15"")"),0)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IFERROR(__xludf.DUMMYFUNCTION("IMPORTRANGE(""https://docs.google.com/spreadsheets/d/1QqKyyYR6Q21VydFLVH3TRQUabQu_ym0Zz7PgGX0-kHA/edit?usp=sharing"",""แผน!BF15"")"),0)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21860.6</v>
      </c>
      <c r="O261" s="155">
        <f t="shared" ref="O261:O269" ca="1" si="117">IF(L261&gt;0,N261*100/L261,0)</f>
        <v>71.207166123778507</v>
      </c>
      <c r="P261" s="155">
        <f t="shared" ref="P261:P269" ca="1" si="118">IF(M261&gt;0,N261*100/M261,0)</f>
        <v>78.919133574007219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21860.6</v>
      </c>
      <c r="O263" s="93">
        <f t="shared" ca="1" si="117"/>
        <v>71.207166123778507</v>
      </c>
      <c r="P263" s="93">
        <f t="shared" ca="1" si="118"/>
        <v>78.919133574007219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27700</v>
      </c>
      <c r="N264" s="466">
        <f t="shared" ca="1" si="120"/>
        <v>21860.6</v>
      </c>
      <c r="O264" s="466">
        <f t="shared" ca="1" si="117"/>
        <v>71.207166123778507</v>
      </c>
      <c r="P264" s="466">
        <f t="shared" ca="1" si="118"/>
        <v>78.919133574007219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IFERROR(__xludf.DUMMYFUNCTION("IMPORTRANGE(""https://docs.google.com/spreadsheets/d/1MeEWN-I1oV_STSDYn1IFDPWt_1FKiwhDph83XaGc0o0/edit?usp=sharing"",""งบพรบ!CY15"")"),30700)</f>
        <v>30700</v>
      </c>
      <c r="M266" s="93">
        <f ca="1">IFERROR(__xludf.DUMMYFUNCTION("IMPORTRANGE(""https://docs.google.com/spreadsheets/d/1MeEWN-I1oV_STSDYn1IFDPWt_1FKiwhDph83XaGc0o0/edit?usp=sharing"",""งบพรบ!DD15"")"),27700)</f>
        <v>27700</v>
      </c>
      <c r="N266" s="93">
        <f ca="1">IFERROR(__xludf.DUMMYFUNCTION("IMPORTRANGE(""https://docs.google.com/spreadsheets/d/1MeEWN-I1oV_STSDYn1IFDPWt_1FKiwhDph83XaGc0o0/edit?usp=sharing"",""งบพรบ!DF15"")"),21860.6)</f>
        <v>21860.6</v>
      </c>
      <c r="O266" s="93">
        <f t="shared" ca="1" si="117"/>
        <v>71.207166123778507</v>
      </c>
      <c r="P266" s="93">
        <f t="shared" ca="1" si="118"/>
        <v>78.919133574007219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IFERROR(__xludf.DUMMYFUNCTION("IMPORTRANGE(""https://docs.google.com/spreadsheets/d/1MeEWN-I1oV_STSDYn1IFDPWt_1FKiwhDph83XaGc0o0/edit?usp=sharing"",""งบพรบ!DB15"")"),0)</f>
        <v>0</v>
      </c>
      <c r="M269" s="93">
        <f ca="1">IFERROR(__xludf.DUMMYFUNCTION("IMPORTRANGE(""https://docs.google.com/spreadsheets/d/1MeEWN-I1oV_STSDYn1IFDPWt_1FKiwhDph83XaGc0o0/edit?usp=sharing"",""งบพรบ!DE15"")"),0)</f>
        <v>0</v>
      </c>
      <c r="N269" s="93">
        <f ca="1">IFERROR(__xludf.DUMMYFUNCTION("IMPORTRANGE(""https://docs.google.com/spreadsheets/d/1MeEWN-I1oV_STSDYn1IFDPWt_1FKiwhDph83XaGc0o0/edit?usp=sharing"",""งบพรบ!DG15"")"),0)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IFERROR(__xludf.DUMMYFUNCTION("IMPORTRANGE(""https://docs.google.com/spreadsheets/d/1QqKyyYR6Q21VydFLVH3TRQUabQu_ym0Zz7PgGX0-kHA/edit?usp=sharing"",""แผน!EA15"")"),26)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62">
        <f t="shared" ref="I276:J276" ca="1" si="124">I287</f>
        <v>200</v>
      </c>
      <c r="J276" s="862">
        <f t="shared" si="124"/>
        <v>200</v>
      </c>
      <c r="K276" s="377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4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31877</v>
      </c>
      <c r="O277" s="155">
        <f t="shared" ref="O277:O285" ca="1" si="126">IF(L277&gt;0,N277*100/L277,0)</f>
        <v>42.143046007403491</v>
      </c>
      <c r="P277" s="155">
        <f t="shared" ref="P277:P285" ca="1" si="127">IF(M277&gt;0,N277*100/M277,0)</f>
        <v>84.960021321961619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31877</v>
      </c>
      <c r="O279" s="93">
        <f t="shared" ca="1" si="126"/>
        <v>42.143046007403491</v>
      </c>
      <c r="P279" s="93">
        <f t="shared" ca="1" si="127"/>
        <v>84.960021321961619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29">L281+L282</f>
        <v>75640</v>
      </c>
      <c r="M280" s="466">
        <f t="shared" ca="1" si="129"/>
        <v>37520</v>
      </c>
      <c r="N280" s="466">
        <f t="shared" ca="1" si="129"/>
        <v>31877</v>
      </c>
      <c r="O280" s="466">
        <f t="shared" ca="1" si="126"/>
        <v>42.143046007403491</v>
      </c>
      <c r="P280" s="466">
        <f t="shared" ca="1" si="127"/>
        <v>84.960021321961619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IFERROR(__xludf.DUMMYFUNCTION("IMPORTRANGE(""https://docs.google.com/spreadsheets/d/1MeEWN-I1oV_STSDYn1IFDPWt_1FKiwhDph83XaGc0o0/edit?usp=sharing"",""งบพรบ!DI15"")"),75640)</f>
        <v>75640</v>
      </c>
      <c r="M282" s="93">
        <f ca="1">IFERROR(__xludf.DUMMYFUNCTION("IMPORTRANGE(""https://docs.google.com/spreadsheets/d/1MeEWN-I1oV_STSDYn1IFDPWt_1FKiwhDph83XaGc0o0/edit?usp=sharing"",""งบพรบ!DN15"")"),37520)</f>
        <v>37520</v>
      </c>
      <c r="N282" s="93">
        <f ca="1">IFERROR(__xludf.DUMMYFUNCTION("IMPORTRANGE(""https://docs.google.com/spreadsheets/d/1MeEWN-I1oV_STSDYn1IFDPWt_1FKiwhDph83XaGc0o0/edit?usp=sharing"",""งบพรบ!DP15"")"),31877)</f>
        <v>31877</v>
      </c>
      <c r="O282" s="93">
        <f t="shared" ca="1" si="126"/>
        <v>42.143046007403491</v>
      </c>
      <c r="P282" s="93">
        <f t="shared" ca="1" si="127"/>
        <v>84.960021321961619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IFERROR(__xludf.DUMMYFUNCTION("IMPORTRANGE(""https://docs.google.com/spreadsheets/d/1MeEWN-I1oV_STSDYn1IFDPWt_1FKiwhDph83XaGc0o0/edit?usp=sharing"",""งบพรบ!DL15"")"),0)</f>
        <v>0</v>
      </c>
      <c r="M285" s="93">
        <f ca="1">IFERROR(__xludf.DUMMYFUNCTION("IMPORTRANGE(""https://docs.google.com/spreadsheets/d/1MeEWN-I1oV_STSDYn1IFDPWt_1FKiwhDph83XaGc0o0/edit?usp=sharing"",""งบพรบ!DO15"")"),0)</f>
        <v>0</v>
      </c>
      <c r="N285" s="93">
        <f ca="1">IFERROR(__xludf.DUMMYFUNCTION("IMPORTRANGE(""https://docs.google.com/spreadsheets/d/1MeEWN-I1oV_STSDYn1IFDPWt_1FKiwhDph83XaGc0o0/edit?usp=sharing"",""งบพรบ!DQ15"")"),0)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IFERROR(__xludf.DUMMYFUNCTION("IMPORTRANGE(""https://docs.google.com/spreadsheets/d/1QqKyyYR6Q21VydFLVH3TRQUabQu_ym0Zz7PgGX0-kHA/edit?usp=sharing"",""แผน!EC15"")"),200)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IFERROR(__xludf.DUMMYFUNCTION("IMPORTRANGE(""https://docs.google.com/spreadsheets/d/1QqKyyYR6Q21VydFLVH3TRQUabQu_ym0Zz7PgGX0-kHA/edit?usp=sharing"",""แผน!EB15"")"),20)</f>
        <v>20</v>
      </c>
      <c r="J288" s="648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IFERROR(__xludf.DUMMYFUNCTION("IMPORTRANGE(""https://docs.google.com/spreadsheets/d/1QqKyyYR6Q21VydFLVH3TRQUabQu_ym0Zz7PgGX0-kHA/edit?usp=sharing"",""แผน!EB15"")"),20)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IFERROR(__xludf.DUMMYFUNCTION("IMPORTRANGE(""https://docs.google.com/spreadsheets/d/1QqKyyYR6Q21VydFLVH3TRQUabQu_ym0Zz7PgGX0-kHA/edit?usp=sharing"",""แผน!EB15"")"),20)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IFERROR(__xludf.DUMMYFUNCTION("IMPORTRANGE(""https://docs.google.com/spreadsheets/d/1QqKyyYR6Q21VydFLVH3TRQUabQu_ym0Zz7PgGX0-kHA/edit?usp=sharing"",""แผน!EB15"")"),20)</f>
        <v>20</v>
      </c>
      <c r="J293" s="215"/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1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IFERROR(__xludf.DUMMYFUNCTION("IMPORTRANGE(""https://docs.google.com/spreadsheets/d/1QqKyyYR6Q21VydFLVH3TRQUabQu_ym0Zz7PgGX0-kHA/edit?usp=sharing"",""แผน!EB15"")"),20)</f>
        <v>20</v>
      </c>
      <c r="J294" s="393"/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4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368400</v>
      </c>
      <c r="M298" s="155">
        <f t="shared" ca="1" si="135"/>
        <v>272400</v>
      </c>
      <c r="N298" s="155">
        <f t="shared" ca="1" si="135"/>
        <v>131530.01</v>
      </c>
      <c r="O298" s="155">
        <f t="shared" ref="O298:O306" ca="1" si="136">IF(L298&gt;0,N298*100/L298,0)</f>
        <v>35.703042888165037</v>
      </c>
      <c r="P298" s="155">
        <f t="shared" ref="P298:P306" ca="1" si="137">IF(M298&gt;0,N298*100/M298,0)</f>
        <v>48.285613069016151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368400</v>
      </c>
      <c r="M300" s="93">
        <f t="shared" ca="1" si="138"/>
        <v>272400</v>
      </c>
      <c r="N300" s="93">
        <f t="shared" ca="1" si="138"/>
        <v>131530.01</v>
      </c>
      <c r="O300" s="93">
        <f t="shared" ca="1" si="136"/>
        <v>35.703042888165037</v>
      </c>
      <c r="P300" s="93">
        <f t="shared" ca="1" si="137"/>
        <v>48.285613069016151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39">L302+L303</f>
        <v>368400</v>
      </c>
      <c r="M301" s="466">
        <f t="shared" ca="1" si="139"/>
        <v>272400</v>
      </c>
      <c r="N301" s="466">
        <f t="shared" ca="1" si="139"/>
        <v>131530.01</v>
      </c>
      <c r="O301" s="466">
        <f t="shared" ca="1" si="136"/>
        <v>35.703042888165037</v>
      </c>
      <c r="P301" s="466">
        <f t="shared" ca="1" si="137"/>
        <v>48.285613069016151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IFERROR(__xludf.DUMMYFUNCTION("IMPORTRANGE(""https://docs.google.com/spreadsheets/d/1MeEWN-I1oV_STSDYn1IFDPWt_1FKiwhDph83XaGc0o0/edit?usp=sharing"",""งบพรบ!DS15"")"),368400)</f>
        <v>368400</v>
      </c>
      <c r="M303" s="93">
        <f ca="1">IFERROR(__xludf.DUMMYFUNCTION("IMPORTRANGE(""https://docs.google.com/spreadsheets/d/1MeEWN-I1oV_STSDYn1IFDPWt_1FKiwhDph83XaGc0o0/edit?usp=sharing"",""งบพรบ!DX15"")"),272400)</f>
        <v>272400</v>
      </c>
      <c r="N303" s="93">
        <f ca="1">IFERROR(__xludf.DUMMYFUNCTION("IMPORTRANGE(""https://docs.google.com/spreadsheets/d/1MeEWN-I1oV_STSDYn1IFDPWt_1FKiwhDph83XaGc0o0/edit?usp=sharing"",""งบพรบ!DZ15"")"),131530.01)</f>
        <v>131530.01</v>
      </c>
      <c r="O303" s="93">
        <f t="shared" ca="1" si="136"/>
        <v>35.703042888165037</v>
      </c>
      <c r="P303" s="93">
        <f t="shared" ca="1" si="137"/>
        <v>48.285613069016151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IFERROR(__xludf.DUMMYFUNCTION("IMPORTRANGE(""https://docs.google.com/spreadsheets/d/1MeEWN-I1oV_STSDYn1IFDPWt_1FKiwhDph83XaGc0o0/edit?usp=sharing"",""งบพรบ!DV15"")"),0)</f>
        <v>0</v>
      </c>
      <c r="M306" s="93">
        <f ca="1">IFERROR(__xludf.DUMMYFUNCTION("IMPORTRANGE(""https://docs.google.com/spreadsheets/d/1MeEWN-I1oV_STSDYn1IFDPWt_1FKiwhDph83XaGc0o0/edit?usp=sharing"",""งบพรบ!DY15"")"),0)</f>
        <v>0</v>
      </c>
      <c r="N306" s="93">
        <f ca="1">IFERROR(__xludf.DUMMYFUNCTION("IMPORTRANGE(""https://docs.google.com/spreadsheets/d/1MeEWN-I1oV_STSDYn1IFDPWt_1FKiwhDph83XaGc0o0/edit?usp=sharing"",""งบพรบ!EA15"")"),0)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IFERROR(__xludf.DUMMYFUNCTION("IMPORTRANGE(""https://docs.google.com/spreadsheets/d/1QqKyyYR6Q21VydFLVH3TRQUabQu_ym0Zz7PgGX0-kHA/edit?usp=sharing"",""แผน!ED15"")"),20)</f>
        <v>20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IFERROR(__xludf.DUMMYFUNCTION("IMPORTRANGE(""https://docs.google.com/spreadsheets/d/1QqKyyYR6Q21VydFLVH3TRQUabQu_ym0Zz7PgGX0-kHA/edit?usp=sharing"",""แผน!ED15"")"),20)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IFERROR(__xludf.DUMMYFUNCTION("IMPORTRANGE(""https://docs.google.com/spreadsheets/d/1QqKyyYR6Q21VydFLVH3TRQUabQu_ym0Zz7PgGX0-kHA/edit?usp=sharing"",""แผน!ED15"")"),20)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IFERROR(__xludf.DUMMYFUNCTION("IMPORTRANGE(""https://docs.google.com/spreadsheets/d/1QqKyyYR6Q21VydFLVH3TRQUabQu_ym0Zz7PgGX0-kHA/edit?usp=sharing"",""แผน!EE15"")"),4)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4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IFERROR(__xludf.DUMMYFUNCTION("IMPORTRANGE(""https://docs.google.com/spreadsheets/d/1MeEWN-I1oV_STSDYn1IFDPWt_1FKiwhDph83XaGc0o0/edit?usp=sharing"",""งบพรบ!EC15"")"),0)</f>
        <v>0</v>
      </c>
      <c r="M320" s="93">
        <f ca="1">IFERROR(__xludf.DUMMYFUNCTION("IMPORTRANGE(""https://docs.google.com/spreadsheets/d/1MeEWN-I1oV_STSDYn1IFDPWt_1FKiwhDph83XaGc0o0/edit?usp=sharing"",""งบพรบ!EH15"")"),0)</f>
        <v>0</v>
      </c>
      <c r="N320" s="93">
        <f ca="1">IFERROR(__xludf.DUMMYFUNCTION("IMPORTRANGE(""https://docs.google.com/spreadsheets/d/1MeEWN-I1oV_STSDYn1IFDPWt_1FKiwhDph83XaGc0o0/edit?usp=sharing"",""งบพรบ!EJ15"")"),0)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IFERROR(__xludf.DUMMYFUNCTION("IMPORTRANGE(""https://docs.google.com/spreadsheets/d/1MeEWN-I1oV_STSDYn1IFDPWt_1FKiwhDph83XaGc0o0/edit?usp=sharing"",""งบพรบ!EF15"")"),0)</f>
        <v>0</v>
      </c>
      <c r="M323" s="93">
        <f ca="1">IFERROR(__xludf.DUMMYFUNCTION("IMPORTRANGE(""https://docs.google.com/spreadsheets/d/1MeEWN-I1oV_STSDYn1IFDPWt_1FKiwhDph83XaGc0o0/edit?usp=sharing"",""งบพรบ!EI15"")"),0)</f>
        <v>0</v>
      </c>
      <c r="N323" s="93">
        <f ca="1">IFERROR(__xludf.DUMMYFUNCTION("IMPORTRANGE(""https://docs.google.com/spreadsheets/d/1MeEWN-I1oV_STSDYn1IFDPWt_1FKiwhDph83XaGc0o0/edit?usp=sharing"",""งบพรบ!EK15"")"),0)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IFERROR(__xludf.DUMMYFUNCTION("IMPORTRANGE(""https://docs.google.com/spreadsheets/d/1QqKyyYR6Q21VydFLVH3TRQUabQu_ym0Zz7PgGX0-kHA/edit?usp=sharing"",""แผน!EF15"")"),0)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IFERROR(__xludf.DUMMYFUNCTION("IMPORTRANGE(""https://docs.google.com/spreadsheets/d/1QqKyyYR6Q21VydFLVH3TRQUabQu_ym0Zz7PgGX0-kHA/edit?usp=sharing"",""แผน!EG15"")"),6000)</f>
        <v>6000</v>
      </c>
      <c r="J327" s="413">
        <f ca="1">J338+J341+J342+J343</f>
        <v>3530</v>
      </c>
      <c r="K327" s="414">
        <f ca="1">IF(I327&gt;0,J327*100/I327,0)</f>
        <v>58.833333333333336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4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446800</v>
      </c>
      <c r="M328" s="155">
        <f t="shared" ca="1" si="149"/>
        <v>335100</v>
      </c>
      <c r="N328" s="155">
        <f t="shared" ca="1" si="149"/>
        <v>138749.82999999999</v>
      </c>
      <c r="O328" s="155">
        <f t="shared" ref="O328:O336" ca="1" si="150">IF(L328&gt;0,N328*100/L328,0)</f>
        <v>31.054124888093103</v>
      </c>
      <c r="P328" s="155">
        <f t="shared" ref="P328:P336" ca="1" si="151">IF(M328&gt;0,N328*100/M328,0)</f>
        <v>41.405499850790804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446800</v>
      </c>
      <c r="M330" s="93">
        <f t="shared" ca="1" si="152"/>
        <v>335100</v>
      </c>
      <c r="N330" s="93">
        <f t="shared" ca="1" si="152"/>
        <v>138749.82999999999</v>
      </c>
      <c r="O330" s="93">
        <f t="shared" ca="1" si="150"/>
        <v>31.054124888093103</v>
      </c>
      <c r="P330" s="93">
        <f t="shared" ca="1" si="151"/>
        <v>41.405499850790804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3">L332+L333</f>
        <v>446800</v>
      </c>
      <c r="M331" s="466">
        <f t="shared" ca="1" si="153"/>
        <v>335100</v>
      </c>
      <c r="N331" s="466">
        <f t="shared" ca="1" si="153"/>
        <v>138749.82999999999</v>
      </c>
      <c r="O331" s="466">
        <f t="shared" ca="1" si="150"/>
        <v>31.054124888093103</v>
      </c>
      <c r="P331" s="466">
        <f t="shared" ca="1" si="151"/>
        <v>41.405499850790804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IFERROR(__xludf.DUMMYFUNCTION("IMPORTRANGE(""https://docs.google.com/spreadsheets/d/1MeEWN-I1oV_STSDYn1IFDPWt_1FKiwhDph83XaGc0o0/edit?usp=sharing"",""งบพรบ!EM15"")"),446800)</f>
        <v>446800</v>
      </c>
      <c r="M333" s="93">
        <f ca="1">IFERROR(__xludf.DUMMYFUNCTION("IMPORTRANGE(""https://docs.google.com/spreadsheets/d/1MeEWN-I1oV_STSDYn1IFDPWt_1FKiwhDph83XaGc0o0/edit?usp=sharing"",""งบพรบ!ER15"")"),335100)</f>
        <v>335100</v>
      </c>
      <c r="N333" s="93">
        <f ca="1">IFERROR(__xludf.DUMMYFUNCTION("IMPORTRANGE(""https://docs.google.com/spreadsheets/d/1MeEWN-I1oV_STSDYn1IFDPWt_1FKiwhDph83XaGc0o0/edit?usp=sharing"",""งบพรบ!ET15"")"),138749.83)</f>
        <v>138749.82999999999</v>
      </c>
      <c r="O333" s="93">
        <f t="shared" ca="1" si="150"/>
        <v>31.054124888093103</v>
      </c>
      <c r="P333" s="93">
        <f t="shared" ca="1" si="151"/>
        <v>41.405499850790804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IFERROR(__xludf.DUMMYFUNCTION("IMPORTRANGE(""https://docs.google.com/spreadsheets/d/1MeEWN-I1oV_STSDYn1IFDPWt_1FKiwhDph83XaGc0o0/edit?usp=sharing"",""งบพรบ!EP15"")"),0)</f>
        <v>0</v>
      </c>
      <c r="M336" s="93">
        <f ca="1">IFERROR(__xludf.DUMMYFUNCTION("IMPORTRANGE(""https://docs.google.com/spreadsheets/d/1MeEWN-I1oV_STSDYn1IFDPWt_1FKiwhDph83XaGc0o0/edit?usp=sharing"",""งบพรบ!ES15"")"),0)</f>
        <v>0</v>
      </c>
      <c r="N336" s="93">
        <f ca="1">IFERROR(__xludf.DUMMYFUNCTION("IMPORTRANGE(""https://docs.google.com/spreadsheets/d/1MeEWN-I1oV_STSDYn1IFDPWt_1FKiwhDph83XaGc0o0/edit?usp=sharing"",""งบพรบ!EU15"")"),0)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IFERROR(__xludf.DUMMYFUNCTION("IMPORTRANGE(""https://docs.google.com/spreadsheets/d/1QqKyyYR6Q21VydFLVH3TRQUabQu_ym0Zz7PgGX0-kHA/edit?usp=sharing"",""แผน!EG15"")"),6000)</f>
        <v>6000</v>
      </c>
      <c r="J338" s="270">
        <f ca="1">IFERROR(__xludf.DUMMYFUNCTION("IMPORTRANGE(""https://docs.google.com/spreadsheets/d/1kVcqe37tkHyjCSG3S0O1AXqVkqjo8mSIZil3BcpIysc/edit?usp=sharing"",""ศูนย์!D15"")"),3425)</f>
        <v>3425</v>
      </c>
      <c r="K338" s="466">
        <f ca="1">IF(I338&gt;0,J338*100/I338,0)</f>
        <v>57.083333333333336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IFERROR(__xludf.DUMMYFUNCTION("IMPORTRANGE(""https://docs.google.com/spreadsheets/d/1QqKyyYR6Q21VydFLVH3TRQUabQu_ym0Zz7PgGX0-kHA/edit?usp=sharing"",""แผน!EH15"")"),8)</f>
        <v>8</v>
      </c>
      <c r="J340" s="270">
        <f ca="1">IFERROR(__xludf.DUMMYFUNCTION("IMPORTRANGE(""https://docs.google.com/spreadsheets/d/1kVcqe37tkHyjCSG3S0O1AXqVkqjo8mSIZil3BcpIysc/edit?usp=sharing"",""ศูนย์!E15"")"),2)</f>
        <v>2</v>
      </c>
      <c r="K340" s="466">
        <f ca="1">IF(I340&gt;0,J340*100/I340,0)</f>
        <v>25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IFERROR(__xludf.DUMMYFUNCTION("IMPORTRANGE(""https://docs.google.com/spreadsheets/d/1kVcqe37tkHyjCSG3S0O1AXqVkqjo8mSIZil3BcpIysc/edit?usp=sharing"",""ศูนย์!F15"")"),99)</f>
        <v>99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IFERROR(__xludf.DUMMYFUNCTION("IMPORTRANGE(""https://docs.google.com/spreadsheets/d/1kVcqe37tkHyjCSG3S0O1AXqVkqjo8mSIZil3BcpIysc/edit?usp=sharing"",""ศูนย์!G15"")"),0)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IFERROR(__xludf.DUMMYFUNCTION("IMPORTRANGE(""https://docs.google.com/spreadsheets/d/1kVcqe37tkHyjCSG3S0O1AXqVkqjo8mSIZil3BcpIysc/edit?usp=sharing"",""ศูนย์!H15"")"),6)</f>
        <v>6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4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1250420</v>
      </c>
      <c r="M345" s="155">
        <f t="shared" ca="1" si="155"/>
        <v>825470</v>
      </c>
      <c r="N345" s="155">
        <f t="shared" ca="1" si="155"/>
        <v>596098.54</v>
      </c>
      <c r="O345" s="155">
        <f t="shared" ref="O345:O353" ca="1" si="156">IF(L345&gt;0,N345*100/L345,0)</f>
        <v>47.671865453207722</v>
      </c>
      <c r="P345" s="155">
        <f t="shared" ref="P345:P353" ca="1" si="157">IF(M345&gt;0,N345*100/M345,0)</f>
        <v>72.213228827213584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1250420</v>
      </c>
      <c r="M347" s="93">
        <f t="shared" ca="1" si="158"/>
        <v>825470</v>
      </c>
      <c r="N347" s="93">
        <f t="shared" ca="1" si="158"/>
        <v>596098.54</v>
      </c>
      <c r="O347" s="93">
        <f t="shared" ca="1" si="156"/>
        <v>47.671865453207722</v>
      </c>
      <c r="P347" s="93">
        <f t="shared" ca="1" si="157"/>
        <v>72.213228827213584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59">L349+L350</f>
        <v>1161820</v>
      </c>
      <c r="M348" s="466">
        <f t="shared" ca="1" si="159"/>
        <v>736870</v>
      </c>
      <c r="N348" s="466">
        <f t="shared" ca="1" si="159"/>
        <v>507498.54</v>
      </c>
      <c r="O348" s="466">
        <f t="shared" ca="1" si="156"/>
        <v>43.681339622316713</v>
      </c>
      <c r="P348" s="466">
        <f t="shared" ca="1" si="157"/>
        <v>68.872194552634795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IFERROR(__xludf.DUMMYFUNCTION("IMPORTRANGE(""https://docs.google.com/spreadsheets/d/1MeEWN-I1oV_STSDYn1IFDPWt_1FKiwhDph83XaGc0o0/edit?usp=sharing"",""งบพรบ!EW15"")"),1161820)</f>
        <v>1161820</v>
      </c>
      <c r="M350" s="93">
        <f ca="1">IFERROR(__xludf.DUMMYFUNCTION("IMPORTRANGE(""https://docs.google.com/spreadsheets/d/1MeEWN-I1oV_STSDYn1IFDPWt_1FKiwhDph83XaGc0o0/edit?usp=sharing"",""งบพรบ!FB15"")"),736870)</f>
        <v>736870</v>
      </c>
      <c r="N350" s="93">
        <f ca="1">IFERROR(__xludf.DUMMYFUNCTION("IMPORTRANGE(""https://docs.google.com/spreadsheets/d/1MeEWN-I1oV_STSDYn1IFDPWt_1FKiwhDph83XaGc0o0/edit?usp=sharing"",""งบพรบ!FD15"")"),507498.54)</f>
        <v>507498.54</v>
      </c>
      <c r="O350" s="93">
        <f t="shared" ca="1" si="156"/>
        <v>43.681339622316713</v>
      </c>
      <c r="P350" s="93">
        <f t="shared" ca="1" si="157"/>
        <v>68.872194552634795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88600</v>
      </c>
      <c r="M351" s="466">
        <f t="shared" ca="1" si="160"/>
        <v>88600</v>
      </c>
      <c r="N351" s="466">
        <f t="shared" ca="1" si="160"/>
        <v>88600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IFERROR(__xludf.DUMMYFUNCTION("IMPORTRANGE(""https://docs.google.com/spreadsheets/d/1MeEWN-I1oV_STSDYn1IFDPWt_1FKiwhDph83XaGc0o0/edit?usp=sharing"",""งบพรบ!EZ15"")"),88600)</f>
        <v>88600</v>
      </c>
      <c r="M353" s="93">
        <f ca="1">IFERROR(__xludf.DUMMYFUNCTION("IMPORTRANGE(""https://docs.google.com/spreadsheets/d/1MeEWN-I1oV_STSDYn1IFDPWt_1FKiwhDph83XaGc0o0/edit?usp=sharing"",""งบพรบ!FC15"")"),88600)</f>
        <v>88600</v>
      </c>
      <c r="N353" s="93">
        <f ca="1">IFERROR(__xludf.DUMMYFUNCTION("IMPORTRANGE(""https://docs.google.com/spreadsheets/d/1MeEWN-I1oV_STSDYn1IFDPWt_1FKiwhDph83XaGc0o0/edit?usp=sharing"",""งบพรบ!FE15"")"),88600)</f>
        <v>88600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IFERROR(__xludf.DUMMYFUNCTION("IMPORTRANGE(""https://docs.google.com/spreadsheets/d/1QqKyyYR6Q21VydFLVH3TRQUabQu_ym0Zz7PgGX0-kHA/edit?usp=sharing"",""แผน!EP15"")"),460)</f>
        <v>460</v>
      </c>
      <c r="J355" s="433">
        <f ca="1">J362</f>
        <v>115</v>
      </c>
      <c r="K355" s="434">
        <f ca="1">IF(I355&gt;0,J355*100/I355,0)</f>
        <v>25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IFERROR(__xludf.DUMMYFUNCTION("IMPORTRANGE(""https://docs.google.com/spreadsheets/d/1XWAQStnk-4SwqDmLtmXYiTMKHgktTP8We1SCoS47DrQ/edit?usp=sharing"",""จัดที่ดิน!W15"")"),182)</f>
        <v>182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IFERROR(__xludf.DUMMYFUNCTION("IMPORTRANGE(""https://docs.google.com/spreadsheets/d/1QqKyyYR6Q21VydFLVH3TRQUabQu_ym0Zz7PgGX0-kHA/edit?usp=sharing"",""แผน!EO15"")"),3600)</f>
        <v>3600</v>
      </c>
      <c r="J359" s="270">
        <f ca="1">IFERROR(__xludf.DUMMYFUNCTION("IMPORTRANGE(""https://docs.google.com/spreadsheets/d/1XWAQStnk-4SwqDmLtmXYiTMKHgktTP8We1SCoS47DrQ/edit?usp=sharing"",""จัดที่ดิน!X15"")"),986.11)</f>
        <v>986.11</v>
      </c>
      <c r="K359" s="466">
        <f t="shared" ca="1" si="161"/>
        <v>27.391944444444444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IFERROR(__xludf.DUMMYFUNCTION("IMPORTRANGE(""https://docs.google.com/spreadsheets/d/1QqKyyYR6Q21VydFLVH3TRQUabQu_ym0Zz7PgGX0-kHA/edit?usp=sharing"",""แผน!EP15"")"),460)</f>
        <v>460</v>
      </c>
      <c r="J360" s="270">
        <f ca="1">IFERROR(__xludf.DUMMYFUNCTION("IMPORTRANGE(""https://docs.google.com/spreadsheets/d/1XWAQStnk-4SwqDmLtmXYiTMKHgktTP8We1SCoS47DrQ/edit?usp=sharing"",""จัดที่ดิน!Y15"")"),144)</f>
        <v>144</v>
      </c>
      <c r="K360" s="466">
        <f t="shared" ca="1" si="161"/>
        <v>31.304347826086957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IFERROR(__xludf.DUMMYFUNCTION("IMPORTRANGE(""https://docs.google.com/spreadsheets/d/1XWAQStnk-4SwqDmLtmXYiTMKHgktTP8We1SCoS47DrQ/edit?usp=sharing"",""จัดที่ดิน!Z15"")"),791.06)</f>
        <v>791.06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IFERROR(__xludf.DUMMYFUNCTION("IMPORTRANGE(""https://docs.google.com/spreadsheets/d/1QqKyyYR6Q21VydFLVH3TRQUabQu_ym0Zz7PgGX0-kHA/edit?usp=sharing"",""แผน!EP15"")"),460)</f>
        <v>460</v>
      </c>
      <c r="J362" s="270">
        <f ca="1">IFERROR(__xludf.DUMMYFUNCTION("IMPORTRANGE(""https://docs.google.com/spreadsheets/d/1XWAQStnk-4SwqDmLtmXYiTMKHgktTP8We1SCoS47DrQ/edit?usp=sharing"",""จัดที่ดิน!AA15"")"),115)</f>
        <v>115</v>
      </c>
      <c r="K362" s="466">
        <f t="shared" ca="1" si="161"/>
        <v>25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IFERROR(__xludf.DUMMYFUNCTION("IMPORTRANGE(""https://docs.google.com/spreadsheets/d/1XWAQStnk-4SwqDmLtmXYiTMKHgktTP8We1SCoS47DrQ/edit?usp=sharing"",""จัดที่ดิน!AB15"")"),587.99)</f>
        <v>587.99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1360</v>
      </c>
      <c r="J364" s="447">
        <f t="shared" ca="1" si="162"/>
        <v>282</v>
      </c>
      <c r="K364" s="448">
        <f t="shared" ca="1" si="161"/>
        <v>20.735294117647058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IFERROR(__xludf.DUMMYFUNCTION("IMPORTRANGE(""https://docs.google.com/spreadsheets/d/1QqKyyYR6Q21VydFLVH3TRQUabQu_ym0Zz7PgGX0-kHA/edit?usp=sharing"",""แผน!EJ15"")"),110)</f>
        <v>110</v>
      </c>
      <c r="J365" s="459">
        <f ca="1">J372</f>
        <v>6</v>
      </c>
      <c r="K365" s="460">
        <f t="shared" ca="1" si="161"/>
        <v>5.4545454545454541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IFERROR(__xludf.DUMMYFUNCTION("IMPORTRANGE(""https://docs.google.com/spreadsheets/d/1XWAQStnk-4SwqDmLtmXYiTMKHgktTP8We1SCoS47DrQ/edit?usp=sharing"",""จัดที่ดิน!E15"")"),36)</f>
        <v>36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IFERROR(__xludf.DUMMYFUNCTION("IMPORTRANGE(""https://docs.google.com/spreadsheets/d/1QqKyyYR6Q21VydFLVH3TRQUabQu_ym0Zz7PgGX0-kHA/edit?usp=sharing"",""แผน!EI15"")"),1100)</f>
        <v>1100</v>
      </c>
      <c r="J369" s="270">
        <f ca="1">IFERROR(__xludf.DUMMYFUNCTION("IMPORTRANGE(""https://docs.google.com/spreadsheets/d/1XWAQStnk-4SwqDmLtmXYiTMKHgktTP8We1SCoS47DrQ/edit?usp=sharing"",""จัดที่ดิน!F15"")"),275.28)</f>
        <v>275.27999999999997</v>
      </c>
      <c r="K369" s="466">
        <f t="shared" ca="1" si="163"/>
        <v>25.025454545454544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IFERROR(__xludf.DUMMYFUNCTION("IMPORTRANGE(""https://docs.google.com/spreadsheets/d/1QqKyyYR6Q21VydFLVH3TRQUabQu_ym0Zz7PgGX0-kHA/edit?usp=sharing"",""แผน!EJ15"")"),110)</f>
        <v>110</v>
      </c>
      <c r="J370" s="270">
        <f ca="1">IFERROR(__xludf.DUMMYFUNCTION("IMPORTRANGE(""https://docs.google.com/spreadsheets/d/1XWAQStnk-4SwqDmLtmXYiTMKHgktTP8We1SCoS47DrQ/edit?usp=sharing"",""จัดที่ดิน!G15"")"),36)</f>
        <v>36</v>
      </c>
      <c r="K370" s="466">
        <f t="shared" ca="1" si="163"/>
        <v>32.727272727272727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IFERROR(__xludf.DUMMYFUNCTION("IMPORTRANGE(""https://docs.google.com/spreadsheets/d/1XWAQStnk-4SwqDmLtmXYiTMKHgktTP8We1SCoS47DrQ/edit?usp=sharing"",""จัดที่ดิน!H15"")"),311.22)</f>
        <v>311.22000000000003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IFERROR(__xludf.DUMMYFUNCTION("IMPORTRANGE(""https://docs.google.com/spreadsheets/d/1QqKyyYR6Q21VydFLVH3TRQUabQu_ym0Zz7PgGX0-kHA/edit?usp=sharing"",""แผน!EJ15"")"),110)</f>
        <v>110</v>
      </c>
      <c r="J372" s="270">
        <f ca="1">IFERROR(__xludf.DUMMYFUNCTION("IMPORTRANGE(""https://docs.google.com/spreadsheets/d/1XWAQStnk-4SwqDmLtmXYiTMKHgktTP8We1SCoS47DrQ/edit?usp=sharing"",""จัดที่ดิน!I15"")"),6)</f>
        <v>6</v>
      </c>
      <c r="K372" s="466">
        <f t="shared" ca="1" si="163"/>
        <v>5.4545454545454541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IFERROR(__xludf.DUMMYFUNCTION("IMPORTRANGE(""https://docs.google.com/spreadsheets/d/1XWAQStnk-4SwqDmLtmXYiTMKHgktTP8We1SCoS47DrQ/edit?usp=sharing"",""จัดที่ดิน!J15"")"),65.72)</f>
        <v>65.72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IFERROR(__xludf.DUMMYFUNCTION("IMPORTRANGE(""https://docs.google.com/spreadsheets/d/1QqKyyYR6Q21VydFLVH3TRQUabQu_ym0Zz7PgGX0-kHA/edit?usp=sharing"",""แผน!EU15"")"),1250)</f>
        <v>1250</v>
      </c>
      <c r="J374" s="459">
        <f ca="1">J381</f>
        <v>276</v>
      </c>
      <c r="K374" s="460">
        <f t="shared" ca="1" si="163"/>
        <v>22.08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IFERROR(__xludf.DUMMYFUNCTION("IMPORTRANGE(""https://docs.google.com/spreadsheets/d/1XWAQStnk-4SwqDmLtmXYiTMKHgktTP8We1SCoS47DrQ/edit?usp=sharing"",""จัดที่ดิน!AH15"")"),146)</f>
        <v>146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IFERROR(__xludf.DUMMYFUNCTION("IMPORTRANGE(""https://docs.google.com/spreadsheets/d/1QqKyyYR6Q21VydFLVH3TRQUabQu_ym0Zz7PgGX0-kHA/edit?usp=sharing"",""แผน!ET15"")"),2500)</f>
        <v>2500</v>
      </c>
      <c r="J378" s="270">
        <f ca="1">IFERROR(__xludf.DUMMYFUNCTION("IMPORTRANGE(""https://docs.google.com/spreadsheets/d/1XWAQStnk-4SwqDmLtmXYiTMKHgktTP8We1SCoS47DrQ/edit?usp=sharing"",""จัดที่ดิน!AI15"")"),710.83)</f>
        <v>710.83</v>
      </c>
      <c r="K378" s="466">
        <f t="shared" ca="1" si="164"/>
        <v>28.433199999999999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IFERROR(__xludf.DUMMYFUNCTION("IMPORTRANGE(""https://docs.google.com/spreadsheets/d/1QqKyyYR6Q21VydFLVH3TRQUabQu_ym0Zz7PgGX0-kHA/edit?usp=sharing"",""แผน!EU15"")"),1250)</f>
        <v>1250</v>
      </c>
      <c r="J379" s="270">
        <f ca="1">IFERROR(__xludf.DUMMYFUNCTION("IMPORTRANGE(""https://docs.google.com/spreadsheets/d/1XWAQStnk-4SwqDmLtmXYiTMKHgktTP8We1SCoS47DrQ/edit?usp=sharing"",""จัดที่ดิน!AJ15"")"),324)</f>
        <v>324</v>
      </c>
      <c r="K379" s="466">
        <f t="shared" ca="1" si="164"/>
        <v>25.92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IFERROR(__xludf.DUMMYFUNCTION("IMPORTRANGE(""https://docs.google.com/spreadsheets/d/1XWAQStnk-4SwqDmLtmXYiTMKHgktTP8We1SCoS47DrQ/edit?usp=sharing"",""จัดที่ดิน!AK15"")"),2193.12)</f>
        <v>2193.12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IFERROR(__xludf.DUMMYFUNCTION("IMPORTRANGE(""https://docs.google.com/spreadsheets/d/1QqKyyYR6Q21VydFLVH3TRQUabQu_ym0Zz7PgGX0-kHA/edit?usp=sharing"",""แผน!EU15"")"),1250)</f>
        <v>1250</v>
      </c>
      <c r="J381" s="270">
        <f ca="1">IFERROR(__xludf.DUMMYFUNCTION("IMPORTRANGE(""https://docs.google.com/spreadsheets/d/1XWAQStnk-4SwqDmLtmXYiTMKHgktTP8We1SCoS47DrQ/edit?usp=sharing"",""จัดที่ดิน!AL15"")"),276)</f>
        <v>276</v>
      </c>
      <c r="K381" s="466">
        <f t="shared" ca="1" si="164"/>
        <v>22.08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IFERROR(__xludf.DUMMYFUNCTION("IMPORTRANGE(""https://docs.google.com/spreadsheets/d/1XWAQStnk-4SwqDmLtmXYiTMKHgktTP8We1SCoS47DrQ/edit?usp=sharing"",""จัดที่ดิน!AM15"")"),1885.15)</f>
        <v>1885.15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IFERROR(__xludf.DUMMYFUNCTION("IMPORTRANGE(""https://docs.google.com/spreadsheets/d/1QqKyyYR6Q21VydFLVH3TRQUabQu_ym0Zz7PgGX0-kHA/edit?usp=sharing"",""แผน!EW15"")"),150)</f>
        <v>150</v>
      </c>
      <c r="J385" s="469">
        <f ca="1">IFERROR(__xludf.DUMMYFUNCTION("IMPORTRANGE(""https://docs.google.com/spreadsheets/d/1XWAQStnk-4SwqDmLtmXYiTMKHgktTP8We1SCoS47DrQ/edit?usp=sharing"",""จัดที่ดิน!AP15"")"),31)</f>
        <v>31</v>
      </c>
      <c r="K385" s="470">
        <f ca="1">IF(I385&gt;0,J385*100/I385,0)</f>
        <v>20.666666666666668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4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IFERROR(__xludf.DUMMYFUNCTION("IMPORTRANGE(""https://docs.google.com/spreadsheets/d/1MeEWN-I1oV_STSDYn1IFDPWt_1FKiwhDph83XaGc0o0/edit?usp=sharing"",""งบพรบ!FG15"")"),0)</f>
        <v>0</v>
      </c>
      <c r="M394" s="93">
        <f ca="1">IFERROR(__xludf.DUMMYFUNCTION("IMPORTRANGE(""https://docs.google.com/spreadsheets/d/1MeEWN-I1oV_STSDYn1IFDPWt_1FKiwhDph83XaGc0o0/edit?usp=sharing"",""งบพรบ!FL15"")"),0)</f>
        <v>0</v>
      </c>
      <c r="N394" s="93">
        <f ca="1">IFERROR(__xludf.DUMMYFUNCTION("IMPORTRANGE(""https://docs.google.com/spreadsheets/d/1MeEWN-I1oV_STSDYn1IFDPWt_1FKiwhDph83XaGc0o0/edit?usp=sharing"",""งบพรบ!FN15"")"),0)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IFERROR(__xludf.DUMMYFUNCTION("IMPORTRANGE(""https://docs.google.com/spreadsheets/d/1MeEWN-I1oV_STSDYn1IFDPWt_1FKiwhDph83XaGc0o0/edit?usp=sharing"",""งบพรบ!FJ15"")"),0)</f>
        <v>0</v>
      </c>
      <c r="M397" s="93">
        <f ca="1">IFERROR(__xludf.DUMMYFUNCTION("IMPORTRANGE(""https://docs.google.com/spreadsheets/d/1MeEWN-I1oV_STSDYn1IFDPWt_1FKiwhDph83XaGc0o0/edit?usp=sharing"",""งบพรบ!FM15"")"),0)</f>
        <v>0</v>
      </c>
      <c r="N397" s="93">
        <f ca="1">IFERROR(__xludf.DUMMYFUNCTION("IMPORTRANGE(""https://docs.google.com/spreadsheets/d/1MeEWN-I1oV_STSDYn1IFDPWt_1FKiwhDph83XaGc0o0/edit?usp=sharing"",""งบพรบ!FO15"")"),0)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4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IFERROR(__xludf.DUMMYFUNCTION("IMPORTRANGE(""https://docs.google.com/spreadsheets/d/1MeEWN-I1oV_STSDYn1IFDPWt_1FKiwhDph83XaGc0o0/edit?usp=sharing"",""งบพรบ!FQ15"")"),0)</f>
        <v>0</v>
      </c>
      <c r="M407" s="93">
        <f ca="1">IFERROR(__xludf.DUMMYFUNCTION("IMPORTRANGE(""https://docs.google.com/spreadsheets/d/1MeEWN-I1oV_STSDYn1IFDPWt_1FKiwhDph83XaGc0o0/edit?usp=sharing"",""งบพรบ!FV15"")"),0)</f>
        <v>0</v>
      </c>
      <c r="N407" s="93">
        <f ca="1">IFERROR(__xludf.DUMMYFUNCTION("IMPORTRANGE(""https://docs.google.com/spreadsheets/d/1MeEWN-I1oV_STSDYn1IFDPWt_1FKiwhDph83XaGc0o0/edit?usp=sharing"",""งบพรบ!FX15"")"),0)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IFERROR(__xludf.DUMMYFUNCTION("IMPORTRANGE(""https://docs.google.com/spreadsheets/d/1MeEWN-I1oV_STSDYn1IFDPWt_1FKiwhDph83XaGc0o0/edit?usp=sharing"",""งบพรบ!FT15"")"),0)</f>
        <v>0</v>
      </c>
      <c r="M410" s="93">
        <f ca="1">IFERROR(__xludf.DUMMYFUNCTION("IMPORTRANGE(""https://docs.google.com/spreadsheets/d/1MeEWN-I1oV_STSDYn1IFDPWt_1FKiwhDph83XaGc0o0/edit?usp=sharing"",""งบพรบ!FW15"")"),0)</f>
        <v>0</v>
      </c>
      <c r="N410" s="93">
        <f ca="1">IFERROR(__xludf.DUMMYFUNCTION("IMPORTRANGE(""https://docs.google.com/spreadsheets/d/1MeEWN-I1oV_STSDYn1IFDPWt_1FKiwhDph83XaGc0o0/edit?usp=sharing"",""งบพรบ!FY15"")"),0)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2284885</v>
      </c>
      <c r="M414" s="517">
        <f t="shared" si="181"/>
        <v>0</v>
      </c>
      <c r="N414" s="517">
        <f t="shared" si="181"/>
        <v>244221</v>
      </c>
      <c r="O414" s="517">
        <f ca="1">IF(L414&gt;0,N414*100/L414,0)</f>
        <v>10.688546688345365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60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0</v>
      </c>
      <c r="K418" s="534">
        <f t="shared" ca="1" si="183"/>
        <v>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188600</v>
      </c>
      <c r="M419" s="155">
        <f t="shared" si="184"/>
        <v>0</v>
      </c>
      <c r="N419" s="155">
        <f t="shared" si="184"/>
        <v>17170</v>
      </c>
      <c r="O419" s="155">
        <f t="shared" ref="O419:O424" ca="1" si="185">IF(L419&gt;0,N419*100/L419,0)</f>
        <v>9.103923647932131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188600</v>
      </c>
      <c r="M421" s="93">
        <f t="shared" si="187"/>
        <v>0</v>
      </c>
      <c r="N421" s="93">
        <f t="shared" si="187"/>
        <v>17170</v>
      </c>
      <c r="O421" s="93">
        <f t="shared" ca="1" si="185"/>
        <v>9.103923647932131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8">L423+L424</f>
        <v>188600</v>
      </c>
      <c r="M422" s="466">
        <f t="shared" si="188"/>
        <v>0</v>
      </c>
      <c r="N422" s="466">
        <f t="shared" si="188"/>
        <v>17170</v>
      </c>
      <c r="O422" s="466">
        <f t="shared" ca="1" si="185"/>
        <v>9.103923647932131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IFERROR(__xludf.DUMMYFUNCTION("IMPORTRANGE(""https://docs.google.com/spreadsheets/d/1QqKyyYR6Q21VydFLVH3TRQUabQu_ym0Zz7PgGX0-kHA/edit?usp=sharing"",""แผน!EY15"")"),188600)</f>
        <v>188600</v>
      </c>
      <c r="M424" s="93">
        <v>0</v>
      </c>
      <c r="N424" s="93">
        <f>N425+N426+N427+N428</f>
        <v>17170</v>
      </c>
      <c r="O424" s="93">
        <f t="shared" ca="1" si="185"/>
        <v>9.103923647932131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v>13810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f>360+3000</f>
        <v>3360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60</v>
      </c>
      <c r="J433" s="648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t="shared" ref="I434:J434" ca="1" si="193">I438+I440</f>
        <v>2</v>
      </c>
      <c r="J434" s="648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IFERROR(__xludf.DUMMYFUNCTION("IMPORTRANGE(""https://docs.google.com/spreadsheets/d/1QqKyyYR6Q21VydFLVH3TRQUabQu_ym0Zz7PgGX0-kHA/edit?usp=sharing"",""แผน!FC15"")"),60)</f>
        <v>60</v>
      </c>
      <c r="J435" s="549">
        <v>0</v>
      </c>
      <c r="K435" s="466">
        <f t="shared" ca="1" si="192"/>
        <v>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IFERROR(__xludf.DUMMYFUNCTION("IMPORTRANGE(""https://docs.google.com/spreadsheets/d/1QqKyyYR6Q21VydFLVH3TRQUabQu_ym0Zz7PgGX0-kHA/edit?usp=sharing"",""แผน!FD15"")"),40)</f>
        <v>40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IFERROR(__xludf.DUMMYFUNCTION("IMPORTRANGE(""https://docs.google.com/spreadsheets/d/1QqKyyYR6Q21VydFLVH3TRQUabQu_ym0Zz7PgGX0-kHA/edit?usp=sharing"",""แผน!FE15"")"),1)</f>
        <v>1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IFERROR(__xludf.DUMMYFUNCTION("IMPORTRANGE(""https://docs.google.com/spreadsheets/d/1QqKyyYR6Q21VydFLVH3TRQUabQu_ym0Zz7PgGX0-kHA/edit?usp=sharing"",""แผน!FF15"")"),20)</f>
        <v>20</v>
      </c>
      <c r="J439" s="549">
        <v>0</v>
      </c>
      <c r="K439" s="466">
        <f t="shared" ca="1" si="194"/>
        <v>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IFERROR(__xludf.DUMMYFUNCTION("IMPORTRANGE(""https://docs.google.com/spreadsheets/d/1QqKyyYR6Q21VydFLVH3TRQUabQu_ym0Zz7PgGX0-kHA/edit?usp=sharing"",""แผน!FG15"")"),1)</f>
        <v>1</v>
      </c>
      <c r="J440" s="215">
        <v>0</v>
      </c>
      <c r="K440" s="466">
        <f t="shared" ca="1" si="194"/>
        <v>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IFERROR(__xludf.DUMMYFUNCTION("IMPORTRANGE(""https://docs.google.com/spreadsheets/d/1QqKyyYR6Q21VydFLVH3TRQUabQu_ym0Zz7PgGX0-kHA/edit?usp=sharing"",""แผน!FH15"")"),0)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150</v>
      </c>
      <c r="J442" s="555">
        <f t="shared" si="195"/>
        <v>100</v>
      </c>
      <c r="K442" s="556">
        <f t="shared" ca="1" si="194"/>
        <v>66.666666666666671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300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714280</v>
      </c>
      <c r="M444" s="195">
        <f t="shared" si="197"/>
        <v>0</v>
      </c>
      <c r="N444" s="195">
        <f t="shared" si="197"/>
        <v>150100</v>
      </c>
      <c r="O444" s="195">
        <f t="shared" ref="O444:O449" ca="1" si="198">IF(L444&gt;0,N444*100/L444,0)</f>
        <v>21.014168113344908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0"/>
        <v>714280</v>
      </c>
      <c r="M446" s="93">
        <f t="shared" si="200"/>
        <v>0</v>
      </c>
      <c r="N446" s="93">
        <f t="shared" si="200"/>
        <v>150100</v>
      </c>
      <c r="O446" s="93">
        <f t="shared" ca="1" si="198"/>
        <v>21.014168113344908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1">L448+L449</f>
        <v>714280</v>
      </c>
      <c r="M447" s="466">
        <f t="shared" si="201"/>
        <v>0</v>
      </c>
      <c r="N447" s="466">
        <f t="shared" si="201"/>
        <v>150100</v>
      </c>
      <c r="O447" s="466">
        <f t="shared" ca="1" si="198"/>
        <v>21.014168113344908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IFERROR(__xludf.DUMMYFUNCTION("IMPORTRANGE(""https://docs.google.com/spreadsheets/d/1QqKyyYR6Q21VydFLVH3TRQUabQu_ym0Zz7PgGX0-kHA/edit?usp=sharing"",""แผน!FJ15"")"),714280)</f>
        <v>714280</v>
      </c>
      <c r="M449" s="93">
        <v>0</v>
      </c>
      <c r="N449" s="93">
        <f>N450+N451+N452+N453</f>
        <v>150100</v>
      </c>
      <c r="O449" s="93">
        <f t="shared" ca="1" si="198"/>
        <v>21.014168113344908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v>101220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v>39000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f>3480+2900+3500</f>
        <v>9880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IFERROR(__xludf.DUMMYFUNCTION("IMPORTRANGE(""https://docs.google.com/spreadsheets/d/1QqKyyYR6Q21VydFLVH3TRQUabQu_ym0Zz7PgGX0-kHA/edit?usp=sharing"",""แผน!FN15"")"),150)</f>
        <v>150</v>
      </c>
      <c r="J460" s="215">
        <v>100</v>
      </c>
      <c r="K460" s="466">
        <f ca="1">IF(I460&gt;0,J460*100/I460,0)</f>
        <v>66.666666666666671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IFERROR(__xludf.DUMMYFUNCTION("IMPORTRANGE(""https://docs.google.com/spreadsheets/d/1QqKyyYR6Q21VydFLVH3TRQUabQu_ym0Zz7PgGX0-kHA/edit?usp=sharing"",""แผน!FO15"")"),300)</f>
        <v>300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IFERROR(__xludf.DUMMYFUNCTION("IMPORTRANGE(""https://docs.google.com/spreadsheets/d/1QqKyyYR6Q21VydFLVH3TRQUabQu_ym0Zz7PgGX0-kHA/edit?usp=sharing"",""แผน!FO15"")"),300)</f>
        <v>300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IFERROR(__xludf.DUMMYFUNCTION("IMPORTRANGE(""https://docs.google.com/spreadsheets/d/1QqKyyYR6Q21VydFLVH3TRQUabQu_ym0Zz7PgGX0-kHA/edit?usp=sharing"",""แผน!FN15"")"),150)</f>
        <v>150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IFERROR(__xludf.DUMMYFUNCTION("IMPORTRANGE(""https://docs.google.com/spreadsheets/d/1QqKyyYR6Q21VydFLVH3TRQUabQu_ym0Zz7PgGX0-kHA/edit?usp=sharing"",""แผน!FX15"")"),51)</f>
        <v>51</v>
      </c>
      <c r="J465" s="555">
        <f>J485+J489+J492</f>
        <v>0</v>
      </c>
      <c r="K465" s="556">
        <f t="shared" ref="K465:K466" ca="1" si="205">IF(I465&gt;0,J465*100/I465,0)</f>
        <v>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IFERROR(__xludf.DUMMYFUNCTION("IMPORTRANGE(""https://docs.google.com/spreadsheets/d/1QqKyyYR6Q21VydFLVH3TRQUabQu_ym0Zz7PgGX0-kHA/edit?usp=sharing"",""แผน!FW15"")"),500)</f>
        <v>500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416253</v>
      </c>
      <c r="M467" s="195">
        <f t="shared" si="206"/>
        <v>0</v>
      </c>
      <c r="N467" s="195">
        <f t="shared" si="206"/>
        <v>16220</v>
      </c>
      <c r="O467" s="195">
        <f t="shared" ref="O467:O472" ca="1" si="207">IF(L467&gt;0,N467*100/L467,0)</f>
        <v>3.8966686125985879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09"/>
        <v>416253</v>
      </c>
      <c r="M469" s="93">
        <f t="shared" si="209"/>
        <v>0</v>
      </c>
      <c r="N469" s="93">
        <f t="shared" si="209"/>
        <v>16220</v>
      </c>
      <c r="O469" s="93">
        <f t="shared" ca="1" si="207"/>
        <v>3.8966686125985879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0">L471+L472</f>
        <v>416253</v>
      </c>
      <c r="M470" s="466">
        <f t="shared" si="210"/>
        <v>0</v>
      </c>
      <c r="N470" s="466">
        <f t="shared" si="210"/>
        <v>16220</v>
      </c>
      <c r="O470" s="466">
        <f t="shared" ca="1" si="207"/>
        <v>3.8966686125985879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IFERROR(__xludf.DUMMYFUNCTION("IMPORTRANGE(""https://docs.google.com/spreadsheets/d/1QqKyyYR6Q21VydFLVH3TRQUabQu_ym0Zz7PgGX0-kHA/edit?usp=sharing"",""แผน!FS15"")"),416253)</f>
        <v>416253</v>
      </c>
      <c r="M472" s="93">
        <v>0</v>
      </c>
      <c r="N472" s="93">
        <f>N473+N474+N475+N476</f>
        <v>16220</v>
      </c>
      <c r="O472" s="93">
        <f t="shared" ca="1" si="207"/>
        <v>3.8966686125985879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/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f>2280+9540+1900+2500</f>
        <v>16220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IFERROR(__xludf.DUMMYFUNCTION("IMPORTRANGE(""https://docs.google.com/spreadsheets/d/1QqKyyYR6Q21VydFLVH3TRQUabQu_ym0Zz7PgGX0-kHA/edit?usp=sharing"",""แผน!FY15"")"),450)</f>
        <v>450</v>
      </c>
      <c r="J483" s="215">
        <v>0</v>
      </c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IFERROR(__xludf.DUMMYFUNCTION("IMPORTRANGE(""https://docs.google.com/spreadsheets/d/1QqKyyYR6Q21VydFLVH3TRQUabQu_ym0Zz7PgGX0-kHA/edit?usp=sharing"",""แผน!FZ15"")"),45)</f>
        <v>45</v>
      </c>
      <c r="J485" s="215">
        <v>0</v>
      </c>
      <c r="K485" s="466">
        <f ca="1">IF(I485&gt;0,J485*100/I485,0)</f>
        <v>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IFERROR(__xludf.DUMMYFUNCTION("IMPORTRANGE(""https://docs.google.com/spreadsheets/d/1QqKyyYR6Q21VydFLVH3TRQUabQu_ym0Zz7PgGX0-kHA/edit?usp=sharing"",""แผน!GA15"")"),50)</f>
        <v>50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IFERROR(__xludf.DUMMYFUNCTION("IMPORTRANGE(""https://docs.google.com/spreadsheets/d/1QqKyyYR6Q21VydFLVH3TRQUabQu_ym0Zz7PgGX0-kHA/edit?usp=sharing"",""แผน!GB15"")"),5)</f>
        <v>5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IFERROR(__xludf.DUMMYFUNCTION("IMPORTRANGE(""https://docs.google.com/spreadsheets/d/1QqKyyYR6Q21VydFLVH3TRQUabQu_ym0Zz7PgGX0-kHA/edit?usp=sharing"",""แผน!GC15"")"),1)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IFERROR(__xludf.DUMMYFUNCTION("IMPORTRANGE(""https://docs.google.com/spreadsheets/d/1QqKyyYR6Q21VydFLVH3TRQUabQu_ym0Zz7PgGX0-kHA/edit?usp=sharing"",""แผน!FY15"")"),450)</f>
        <v>450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IFERROR(__xludf.DUMMYFUNCTION("IMPORTRANGE(""https://docs.google.com/spreadsheets/d/1QqKyyYR6Q21VydFLVH3TRQUabQu_ym0Zz7PgGX0-kHA/edit?usp=sharing"",""แผน!GA15"")"),50)</f>
        <v>50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6">L503+L504</f>
        <v>0</v>
      </c>
      <c r="M502" s="614">
        <f t="shared" si="216"/>
        <v>0</v>
      </c>
      <c r="N502" s="614">
        <f t="shared" si="216"/>
        <v>0</v>
      </c>
      <c r="O502" s="614">
        <f t="shared" ref="O502:O507" si="217">IF(L502&gt;0,N502*100/L502,0)</f>
        <v>0</v>
      </c>
      <c r="P502" s="614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6"/>
      <c r="D505" s="853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853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 hidden="1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5">I537</f>
        <v>0</v>
      </c>
      <c r="J522" s="675">
        <f t="shared" ca="1" si="225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IFERROR(__xludf.DUMMYFUNCTION("IMPORTRANGE(""https://docs.google.com/spreadsheets/d/1QqKyyYR6Q21VydFLVH3TRQUabQu_ym0Zz7PgGX0-kHA/edit?usp=sharing"",""แผน!GQ15"")"),0)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IFERROR(__xludf.DUMMYFUNCTION("IMPORTRANGE(""https://docs.google.com/spreadsheets/d/1QqKyyYR6Q21VydFLVH3TRQUabQu_ym0Zz7PgGX0-kHA/edit?usp=sharing"",""แผน!GU15"")"),0)</f>
        <v>0</v>
      </c>
      <c r="J537" s="648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 hidden="1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IFERROR(__xludf.DUMMYFUNCTION("IMPORTRANGE(""https://docs.google.com/spreadsheets/d/1QqKyyYR6Q21VydFLVH3TRQUabQu_ym0Zz7PgGX0-kHA/edit?usp=sharing"",""แผน!GV15"")"),0)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 hidden="1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IFERROR(__xludf.DUMMYFUNCTION("IMPORTRANGE(""https://docs.google.com/spreadsheets/d/1QqKyyYR6Q21VydFLVH3TRQUabQu_ym0Zz7PgGX0-kHA/edit?usp=sharing"",""แผน!GW15"")"),0)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 hidden="1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IFERROR(__xludf.DUMMYFUNCTION("IMPORTRANGE(""https://docs.google.com/spreadsheets/d/1QqKyyYR6Q21VydFLVH3TRQUabQu_ym0Zz7PgGX0-kHA/edit?usp=sharing"",""แผน!GX15"")"),0)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 hidden="1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IFERROR(__xludf.DUMMYFUNCTION("IMPORTRANGE(""https://docs.google.com/spreadsheets/d/1QqKyyYR6Q21VydFLVH3TRQUabQu_ym0Zz7PgGX0-kHA/edit?usp=sharing"",""แผน!GY15"")"),0)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 hidden="1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IFERROR(__xludf.DUMMYFUNCTION("IMPORTRANGE(""https://docs.google.com/spreadsheets/d/1QqKyyYR6Q21VydFLVH3TRQUabQu_ym0Zz7PgGX0-kHA/edit?usp=sharing"",""แผน!GZ15"")"),0)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5">I559</f>
        <v>28996</v>
      </c>
      <c r="J543" s="654">
        <f t="shared" si="235"/>
        <v>0</v>
      </c>
      <c r="K543" s="655">
        <f t="shared" ca="1" si="234"/>
        <v>0</v>
      </c>
      <c r="L543" s="637"/>
      <c r="M543" s="637"/>
      <c r="N543" s="637"/>
      <c r="O543" s="637"/>
      <c r="P543" s="637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6">L545+L546</f>
        <v>537922</v>
      </c>
      <c r="M544" s="155">
        <f t="shared" si="236"/>
        <v>0</v>
      </c>
      <c r="N544" s="155">
        <f t="shared" si="236"/>
        <v>56639</v>
      </c>
      <c r="O544" s="155">
        <f t="shared" ref="O544:O549" ca="1" si="237">IF(L544&gt;0,N544*100/L544,0)</f>
        <v>10.52922170872357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39"/>
        <v>537922</v>
      </c>
      <c r="M546" s="93">
        <f t="shared" si="240"/>
        <v>0</v>
      </c>
      <c r="N546" s="93">
        <f t="shared" si="240"/>
        <v>56639</v>
      </c>
      <c r="O546" s="93">
        <f t="shared" ca="1" si="237"/>
        <v>10.52922170872357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1">L548+L549</f>
        <v>537922</v>
      </c>
      <c r="M547" s="466">
        <f t="shared" si="241"/>
        <v>0</v>
      </c>
      <c r="N547" s="466">
        <f t="shared" si="241"/>
        <v>56639</v>
      </c>
      <c r="O547" s="466">
        <f t="shared" ca="1" si="237"/>
        <v>10.52922170872357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IFERROR(__xludf.DUMMYFUNCTION("IMPORTRANGE(""https://docs.google.com/spreadsheets/d/1QqKyyYR6Q21VydFLVH3TRQUabQu_ym0Zz7PgGX0-kHA/edit?usp=sharing"",""แผน!HB15"")"),537922)</f>
        <v>537922</v>
      </c>
      <c r="M549" s="93">
        <v>0</v>
      </c>
      <c r="N549" s="93">
        <f>N550+N551+N552+N553+N554</f>
        <v>56639</v>
      </c>
      <c r="O549" s="93">
        <f t="shared" ca="1" si="237"/>
        <v>10.52922170872357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801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801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801">
        <v>39000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801">
        <f>8439+9200</f>
        <v>17639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5">I576</f>
        <v>28996</v>
      </c>
      <c r="J559" s="675">
        <f t="shared" si="245"/>
        <v>0</v>
      </c>
      <c r="K559" s="644">
        <f t="shared" ref="K559:K561" ca="1" si="246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9"/>
      <c r="H560" s="734" t="s">
        <v>46</v>
      </c>
      <c r="I560" s="193">
        <f ca="1">IFERROR(__xludf.DUMMYFUNCTION("IMPORTRANGE(""https://docs.google.com/spreadsheets/d/1QqKyyYR6Q21VydFLVH3TRQUabQu_ym0Zz7PgGX0-kHA/edit?usp=sharing"",""แผน!HH15"")"),28996)</f>
        <v>28996</v>
      </c>
      <c r="J560" s="193">
        <f t="shared" ref="J560:J561" si="247">J562+J564+J566</f>
        <v>28996.460000000003</v>
      </c>
      <c r="K560" s="380">
        <f t="shared" ca="1" si="246"/>
        <v>100.00158642571391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9"/>
      <c r="H561" s="734" t="s">
        <v>34</v>
      </c>
      <c r="I561" s="193">
        <f ca="1">IFERROR(__xludf.DUMMYFUNCTION("IMPORTRANGE(""https://docs.google.com/spreadsheets/d/1QqKyyYR6Q21VydFLVH3TRQUabQu_ym0Zz7PgGX0-kHA/edit?usp=sharing"",""แผน!HG15"")"),6226)</f>
        <v>6226</v>
      </c>
      <c r="J561" s="193">
        <f t="shared" si="247"/>
        <v>6226</v>
      </c>
      <c r="K561" s="380">
        <f t="shared" ca="1" si="246"/>
        <v>100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v>23430.06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v>5153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v>4601.67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v>891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v>964.73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v>182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9"/>
      <c r="H568" s="734" t="s">
        <v>46</v>
      </c>
      <c r="I568" s="193">
        <f ca="1">IFERROR(__xludf.DUMMYFUNCTION("IMPORTRANGE(""https://docs.google.com/spreadsheets/d/1QqKyyYR6Q21VydFLVH3TRQUabQu_ym0Zz7PgGX0-kHA/edit?usp=sharing"",""แผน!HH15"")"),28996)</f>
        <v>28996</v>
      </c>
      <c r="J568" s="648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9"/>
      <c r="H569" s="734" t="s">
        <v>34</v>
      </c>
      <c r="I569" s="193">
        <f ca="1">IFERROR(__xludf.DUMMYFUNCTION("IMPORTRANGE(""https://docs.google.com/spreadsheets/d/1QqKyyYR6Q21VydFLVH3TRQUabQu_ym0Zz7PgGX0-kHA/edit?usp=sharing"",""แผน!HG15"")"),6226)</f>
        <v>6226</v>
      </c>
      <c r="J569" s="648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9"/>
      <c r="H576" s="734" t="s">
        <v>46</v>
      </c>
      <c r="I576" s="193">
        <f ca="1">IFERROR(__xludf.DUMMYFUNCTION("IMPORTRANGE(""https://docs.google.com/spreadsheets/d/1QqKyyYR6Q21VydFLVH3TRQUabQu_ym0Zz7PgGX0-kHA/edit?usp=sharing"",""แผน!HH15"")"),28996)</f>
        <v>28996</v>
      </c>
      <c r="J576" s="648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9"/>
      <c r="H577" s="734" t="s">
        <v>34</v>
      </c>
      <c r="I577" s="193">
        <f ca="1">IFERROR(__xludf.DUMMYFUNCTION("IMPORTRANGE(""https://docs.google.com/spreadsheets/d/1QqKyyYR6Q21VydFLVH3TRQUabQu_ym0Zz7PgGX0-kHA/edit?usp=sharing"",""แผน!HG15"")"),6226)</f>
        <v>6226</v>
      </c>
      <c r="J577" s="648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3">I593</f>
        <v>3953.38</v>
      </c>
      <c r="J592" s="675">
        <f t="shared" si="253"/>
        <v>1135</v>
      </c>
      <c r="K592" s="644">
        <f t="shared" ref="K592:K594" ca="1" si="254">IF(I592&gt;0,J592*100/I592,0)</f>
        <v>28.709610510499875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IFERROR(__xludf.DUMMYFUNCTION("IMPORTRANGE(""https://docs.google.com/spreadsheets/d/1QqKyyYR6Q21VydFLVH3TRQUabQu_ym0Zz7PgGX0-kHA/edit?usp=sharing"",""แผน!HJ15"")"),3953.38)</f>
        <v>3953.38</v>
      </c>
      <c r="J593" s="193">
        <f t="shared" ref="J593:J594" si="255">J595+J603+J609</f>
        <v>1135</v>
      </c>
      <c r="K593" s="380">
        <f t="shared" ca="1" si="254"/>
        <v>28.709610510499875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IFERROR(__xludf.DUMMYFUNCTION("IMPORTRANGE(""https://docs.google.com/spreadsheets/d/1QqKyyYR6Q21VydFLVH3TRQUabQu_ym0Zz7PgGX0-kHA/edit?usp=sharing"",""แผน!HI15"")"),648)</f>
        <v>648</v>
      </c>
      <c r="J594" s="193">
        <f t="shared" si="255"/>
        <v>193</v>
      </c>
      <c r="K594" s="380">
        <f t="shared" ca="1" si="254"/>
        <v>29.783950617283949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6">J597+J599</f>
        <v>1093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6"/>
        <v>186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215">
        <v>1093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186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7">J605+J607</f>
        <v>42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7"/>
        <v>7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42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7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 hidden="1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8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59">J614+J616</f>
        <v>0</v>
      </c>
      <c r="K612" s="684">
        <f t="shared" si="258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59"/>
        <v>0</v>
      </c>
      <c r="K613" s="684">
        <f t="shared" si="258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 hidden="1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IFERROR(__xludf.DUMMYFUNCTION("IMPORTRANGE(""https://docs.google.com/spreadsheets/d/1QqKyyYR6Q21VydFLVH3TRQUabQu_ym0Zz7PgGX0-kHA/edit?usp=sharing"",""แผน!HL15"")"),0)</f>
        <v>0</v>
      </c>
      <c r="J620" s="695">
        <f t="shared" ref="J620:J621" si="260">J622+J624+J626</f>
        <v>0</v>
      </c>
      <c r="K620" s="696">
        <f t="shared" ref="K620:K621" ca="1" si="261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 hidden="1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IFERROR(__xludf.DUMMYFUNCTION("IMPORTRANGE(""https://docs.google.com/spreadsheets/d/1QqKyyYR6Q21VydFLVH3TRQUabQu_ym0Zz7PgGX0-kHA/edit?usp=sharing"",""แผน!HK15"")"),0)</f>
        <v>0</v>
      </c>
      <c r="J621" s="695">
        <f t="shared" si="260"/>
        <v>0</v>
      </c>
      <c r="K621" s="696">
        <f t="shared" ca="1" si="261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 hidden="1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 hidden="1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 hidden="1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 hidden="1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 hidden="1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 hidden="1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262">I651</f>
        <v>140</v>
      </c>
      <c r="J628" s="708">
        <f t="shared" ca="1" si="262"/>
        <v>0</v>
      </c>
      <c r="K628" s="709">
        <f ca="1">IF(I628&gt;0,J628*100/I628,0)</f>
        <v>0</v>
      </c>
      <c r="L628" s="710"/>
      <c r="M628" s="710"/>
      <c r="N628" s="710"/>
      <c r="O628" s="710"/>
      <c r="P628" s="710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400230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6"/>
        <v>400230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7">L633+L634</f>
        <v>400230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IFERROR(__xludf.DUMMYFUNCTION("IMPORTRANGE(""https://docs.google.com/spreadsheets/d/1QqKyyYR6Q21VydFLVH3TRQUabQu_ym0Zz7PgGX0-kHA/edit?usp=sharing"",""แผน!HN15"")"),400230)</f>
        <v>400230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v>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IFERROR(__xludf.DUMMYFUNCTION("IMPORTRANGE(""https://docs.google.com/spreadsheets/d/1QqKyyYR6Q21VydFLVH3TRQUabQu_ym0Zz7PgGX0-kHA/edit?usp=sharing"",""แผน!HR15"")"),0)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IFERROR(__xludf.DUMMYFUNCTION("IMPORTRANGE(""https://docs.google.com/spreadsheets/d/1QqKyyYR6Q21VydFLVH3TRQUabQu_ym0Zz7PgGX0-kHA/edit?usp=sharing"",""แผน!HR15"")"),0)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IFERROR(__xludf.DUMMYFUNCTION("IMPORTRANGE(""https://docs.google.com/spreadsheets/d/1XWAQStnk-4SwqDmLtmXYiTMKHgktTP8We1SCoS47DrQ/edit?usp=sharing"",""จัดที่ดิน!AS15"")"),2)</f>
        <v>2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IFERROR(__xludf.DUMMYFUNCTION("IMPORTRANGE(""https://docs.google.com/spreadsheets/d/1XWAQStnk-4SwqDmLtmXYiTMKHgktTP8We1SCoS47DrQ/edit?usp=sharing"",""จัดที่ดิน!AT15"")"),1.5)</f>
        <v>1.5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IFERROR(__xludf.DUMMYFUNCTION("IMPORTRANGE(""https://docs.google.com/spreadsheets/d/1QqKyyYR6Q21VydFLVH3TRQUabQu_ym0Zz7PgGX0-kHA/edit?usp=sharing"",""แผน!HS15"")"),140)</f>
        <v>140</v>
      </c>
      <c r="J647" s="270">
        <f ca="1">IFERROR(__xludf.DUMMYFUNCTION("IMPORTRANGE(""https://docs.google.com/spreadsheets/d/1XWAQStnk-4SwqDmLtmXYiTMKHgktTP8We1SCoS47DrQ/edit?usp=sharing"",""จัดที่ดิน!AU15"")"),41)</f>
        <v>41</v>
      </c>
      <c r="K647" s="163">
        <f t="shared" ca="1" si="271"/>
        <v>29.285714285714285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IFERROR(__xludf.DUMMYFUNCTION("IMPORTRANGE(""https://docs.google.com/spreadsheets/d/1XWAQStnk-4SwqDmLtmXYiTMKHgktTP8We1SCoS47DrQ/edit?usp=sharing"",""จัดที่ดิน!AV15"")"),23.54)</f>
        <v>23.54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IFERROR(__xludf.DUMMYFUNCTION("IMPORTRANGE(""https://docs.google.com/spreadsheets/d/1QqKyyYR6Q21VydFLVH3TRQUabQu_ym0Zz7PgGX0-kHA/edit?usp=sharing"",""แผน!HS15"")"),140)</f>
        <v>140</v>
      </c>
      <c r="J649" s="270">
        <f ca="1">IFERROR(__xludf.DUMMYFUNCTION("IMPORTRANGE(""https://docs.google.com/spreadsheets/d/1XWAQStnk-4SwqDmLtmXYiTMKHgktTP8We1SCoS47DrQ/edit?usp=sharing"",""จัดที่ดิน!AW15"")"),46)</f>
        <v>46</v>
      </c>
      <c r="K649" s="163">
        <f t="shared" ca="1" si="271"/>
        <v>32.857142857142854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IFERROR(__xludf.DUMMYFUNCTION("IMPORTRANGE(""https://docs.google.com/spreadsheets/d/1XWAQStnk-4SwqDmLtmXYiTMKHgktTP8We1SCoS47DrQ/edit?usp=sharing"",""จัดที่ดิน!AX15"")"),27.55)</f>
        <v>27.55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IFERROR(__xludf.DUMMYFUNCTION("IMPORTRANGE(""https://docs.google.com/spreadsheets/d/1QqKyyYR6Q21VydFLVH3TRQUabQu_ym0Zz7PgGX0-kHA/edit?usp=sharing"",""แผน!HS15"")"),140)</f>
        <v>140</v>
      </c>
      <c r="J651" s="270">
        <f ca="1">IFERROR(__xludf.DUMMYFUNCTION("IMPORTRANGE(""https://docs.google.com/spreadsheets/d/1XWAQStnk-4SwqDmLtmXYiTMKHgktTP8We1SCoS47DrQ/edit?usp=sharing"",""จัดที่ดิน!AY15"")"),0)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IFERROR(__xludf.DUMMYFUNCTION("IMPORTRANGE(""https://docs.google.com/spreadsheets/d/1XWAQStnk-4SwqDmLtmXYiTMKHgktTP8We1SCoS47DrQ/edit?usp=sharing"",""จัดที่ดิน!AZ15"")"),0)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2">I669</f>
        <v>300</v>
      </c>
      <c r="J654" s="675">
        <f t="shared" si="27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27600</v>
      </c>
      <c r="M655" s="195">
        <f t="shared" si="273"/>
        <v>0</v>
      </c>
      <c r="N655" s="195">
        <f t="shared" si="273"/>
        <v>4092</v>
      </c>
      <c r="O655" s="195">
        <f t="shared" ref="O655:O660" ca="1" si="274">IF(L655&gt;0,N655*100/L655,0)</f>
        <v>14.826086956521738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6"/>
        <v>27600</v>
      </c>
      <c r="M657" s="93">
        <f t="shared" si="276"/>
        <v>0</v>
      </c>
      <c r="N657" s="93">
        <f t="shared" si="276"/>
        <v>4092</v>
      </c>
      <c r="O657" s="93">
        <f t="shared" ca="1" si="274"/>
        <v>14.826086956521738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7">L659+L660</f>
        <v>27600</v>
      </c>
      <c r="M658" s="466">
        <f t="shared" si="277"/>
        <v>0</v>
      </c>
      <c r="N658" s="466">
        <f t="shared" si="277"/>
        <v>4092</v>
      </c>
      <c r="O658" s="466">
        <f t="shared" ca="1" si="274"/>
        <v>14.826086956521738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IFERROR(__xludf.DUMMYFUNCTION("IMPORTRANGE(""https://docs.google.com/spreadsheets/d/1QqKyyYR6Q21VydFLVH3TRQUabQu_ym0Zz7PgGX0-kHA/edit?usp=sharing"",""แผน!HV15"")"),27600)</f>
        <v>27600</v>
      </c>
      <c r="M660" s="93">
        <v>0</v>
      </c>
      <c r="N660" s="93">
        <f>N661+N662+N663+N664</f>
        <v>4092</v>
      </c>
      <c r="O660" s="93">
        <f t="shared" ca="1" si="274"/>
        <v>14.826086956521738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f>240+2700+1152</f>
        <v>4092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IFERROR(__xludf.DUMMYFUNCTION("IMPORTRANGE(""https://docs.google.com/spreadsheets/d/1QqKyyYR6Q21VydFLVH3TRQUabQu_ym0Zz7PgGX0-kHA/edit?usp=sharing"",""แผน!IA15"")"),300)</f>
        <v>300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IFERROR(__xludf.DUMMYFUNCTION("IMPORTRANGE(""https://docs.google.com/spreadsheets/d/1QqKyyYR6Q21VydFLVH3TRQUabQu_ym0Zz7PgGX0-kHA/edit?usp=sharing"",""แผน!HZ15"")"),6)</f>
        <v>6</v>
      </c>
      <c r="J670" s="215">
        <v>6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IFERROR(__xludf.DUMMYFUNCTION("IMPORTRANGE(""https://docs.google.com/spreadsheets/d/1QqKyyYR6Q21VydFLVH3TRQUabQu_ym0Zz7PgGX0-kHA/edit?usp=sharing"",""แผน!HZ15"")"),6)</f>
        <v>6</v>
      </c>
      <c r="J671" s="215">
        <v>6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800</v>
      </c>
      <c r="K672" s="466">
        <f t="shared" ref="K672:K675" ca="1" si="281">IF(I$669&gt;0,J672*100/I$669,0)</f>
        <v>266.66666666666669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IFERROR(__xludf.DUMMYFUNCTION("IMPORTRANGE(""https://docs.google.com/spreadsheets/d/1QqKyyYR6Q21VydFLVH3TRQUabQu_ym0Zz7PgGX0-kHA/edit?usp=sharing"",""แผน!IB15"")"),0)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.5" thickBot="1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20.25" hidden="1" thickBot="1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20.25" hidden="1" thickBot="1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.5" hidden="1" thickBot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9.5" hidden="1" thickBot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9.5" hidden="1" thickBot="1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.5" hidden="1" thickBot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9.5" hidden="1" thickBot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IFERROR(__xludf.DUMMYFUNCTION("IMPORTRANGE(""https://docs.google.com/spreadsheets/d/1QqKyyYR6Q21VydFLVH3TRQUabQu_ym0Zz7PgGX0-kHA/edit?usp=sharing"",""แผน!HW15"")"),0)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9.5" hidden="1" thickBot="1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.5" hidden="1" thickBot="1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.5" hidden="1" thickBot="1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.5" hidden="1" thickBot="1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.5" hidden="1" thickBot="1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.5" hidden="1" thickBot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9.5" hidden="1" thickBot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20.25" hidden="1" thickBot="1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.5" hidden="1" thickBot="1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IFERROR(__xludf.DUMMYFUNCTION("IMPORTRANGE(""https://docs.google.com/spreadsheets/d/1QqKyyYR6Q21VydFLVH3TRQUabQu_ym0Zz7PgGX0-kHA/edit?usp=sharing"",""แผน!IC15"")"),0)</f>
        <v>0</v>
      </c>
      <c r="J699" s="270">
        <f ca="1">IFERROR(__xludf.DUMMYFUNCTION("IMPORTRANGE(""https://docs.google.com/spreadsheets/d/1XWAQStnk-4SwqDmLtmXYiTMKHgktTP8We1SCoS47DrQ/edit?usp=sharing"",""จัดที่ดิน!BB15"")"),0)</f>
        <v>0</v>
      </c>
      <c r="K699" s="466">
        <f t="shared" ref="K699:K701" ca="1" si="290">IF(I699&gt;0,J699*100/I699,0)</f>
        <v>0</v>
      </c>
      <c r="L699" s="466"/>
      <c r="M699" s="189"/>
      <c r="N699" s="733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.5" hidden="1" thickBot="1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IFERROR(__xludf.DUMMYFUNCTION("IMPORTRANGE(""https://docs.google.com/spreadsheets/d/1QqKyyYR6Q21VydFLVH3TRQUabQu_ym0Zz7PgGX0-kHA/edit?usp=sharing"",""แผน!ID15"")"),0)</f>
        <v>0</v>
      </c>
      <c r="J700" s="270">
        <f ca="1">IFERROR(__xludf.DUMMYFUNCTION("IMPORTRANGE(""https://docs.google.com/spreadsheets/d/1XWAQStnk-4SwqDmLtmXYiTMKHgktTP8We1SCoS47DrQ/edit?usp=sharing"",""จัดที่ดิน!BD15"")"),0)</f>
        <v>0</v>
      </c>
      <c r="K700" s="466">
        <f t="shared" ca="1" si="290"/>
        <v>0</v>
      </c>
      <c r="L700" s="466"/>
      <c r="M700" s="189"/>
      <c r="N700" s="733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20.25" hidden="1" thickBot="1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IFERROR(__xludf.DUMMYFUNCTION("IMPORTRANGE(""https://docs.google.com/spreadsheets/d/1QqKyyYR6Q21VydFLVH3TRQUabQu_ym0Zz7PgGX0-kHA/edit?usp=sharing"",""แผน!IE15"")"),0)</f>
        <v>0</v>
      </c>
      <c r="J701" s="648">
        <f>J704+J707</f>
        <v>0</v>
      </c>
      <c r="K701" s="195">
        <f t="shared" ca="1" si="290"/>
        <v>0</v>
      </c>
      <c r="L701" s="466"/>
      <c r="M701" s="189"/>
      <c r="N701" s="733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.5" hidden="1" thickBot="1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.5" hidden="1" thickBot="1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.5" hidden="1" thickBot="1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IFERROR(__xludf.DUMMYFUNCTION("IMPORTRANGE(""https://docs.google.com/spreadsheets/d/1QqKyyYR6Q21VydFLVH3TRQUabQu_ym0Zz7PgGX0-kHA/edit?usp=sharing"",""แผน!IF15"")"),0)</f>
        <v>0</v>
      </c>
      <c r="J704" s="215">
        <v>0</v>
      </c>
      <c r="K704" s="466"/>
      <c r="L704" s="466"/>
      <c r="M704" s="189"/>
      <c r="N704" s="733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.5" hidden="1" thickBot="1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0</v>
      </c>
      <c r="K705" s="466"/>
      <c r="L705" s="466"/>
      <c r="M705" s="189"/>
      <c r="N705" s="733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.5" hidden="1" thickBot="1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0</v>
      </c>
      <c r="K706" s="466"/>
      <c r="L706" s="466"/>
      <c r="M706" s="189"/>
      <c r="N706" s="733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.5" hidden="1" thickBot="1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IFERROR(__xludf.DUMMYFUNCTION("IMPORTRANGE(""https://docs.google.com/spreadsheets/d/1QqKyyYR6Q21VydFLVH3TRQUabQu_ym0Zz7PgGX0-kHA/edit?usp=sharing"",""แผน!IG15"")"),0)</f>
        <v>0</v>
      </c>
      <c r="J707" s="215">
        <v>0</v>
      </c>
      <c r="K707" s="466"/>
      <c r="L707" s="466"/>
      <c r="M707" s="189"/>
      <c r="N707" s="733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20.25" hidden="1" thickBot="1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IFERROR(__xludf.DUMMYFUNCTION("IMPORTRANGE(""https://docs.google.com/spreadsheets/d/1QqKyyYR6Q21VydFLVH3TRQUabQu_ym0Zz7PgGX0-kHA/edit?usp=sharing"",""แผน!IH15"")"),0)</f>
        <v>0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.5" hidden="1" thickBot="1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.5" hidden="1" thickBot="1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.5" hidden="1" thickBot="1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.5" hidden="1" thickBot="1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.5" hidden="1" thickBot="1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.5" hidden="1" thickBot="1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.5" hidden="1" thickBot="1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.5" hidden="1" thickBot="1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.5" hidden="1" thickBot="1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.5" hidden="1" thickBot="1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IFERROR(__xludf.DUMMYFUNCTION("IMPORTRANGE(""https://docs.google.com/spreadsheets/d/1XWAQStnk-4SwqDmLtmXYiTMKHgktTP8We1SCoS47DrQ/edit?usp=sharing"",""จัดที่ดิน!BF15"")"),0)</f>
        <v>0</v>
      </c>
      <c r="K718" s="466"/>
      <c r="L718" s="466"/>
      <c r="M718" s="189"/>
      <c r="N718" s="733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.5" hidden="1" thickBot="1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IFERROR(__xludf.DUMMYFUNCTION("IMPORTRANGE(""https://docs.google.com/spreadsheets/d/1XWAQStnk-4SwqDmLtmXYiTMKHgktTP8We1SCoS47DrQ/edit?usp=sharing"",""จัดที่ดิน!BG15"")"),0)</f>
        <v>0</v>
      </c>
      <c r="K719" s="466"/>
      <c r="L719" s="733"/>
      <c r="M719" s="189"/>
      <c r="N719" s="733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.5" hidden="1" thickBot="1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IFERROR(__xludf.DUMMYFUNCTION("IMPORTRANGE(""https://docs.google.com/spreadsheets/d/1QqKyyYR6Q21VydFLVH3TRQUabQu_ym0Zz7PgGX0-kHA/edit?usp=sharing"",""แผน!II15"")"),0)</f>
        <v>0</v>
      </c>
      <c r="J720" s="270">
        <f ca="1">IFERROR(__xludf.DUMMYFUNCTION("IMPORTRANGE(""https://docs.google.com/spreadsheets/d/1XWAQStnk-4SwqDmLtmXYiTMKHgktTP8We1SCoS47DrQ/edit?usp=sharing"",""จัดที่ดิน!BH15"")"),0)</f>
        <v>0</v>
      </c>
      <c r="K720" s="466">
        <f t="shared" ref="K720:K723" ca="1" si="291">IF(I720&gt;0,J720*100/I720,0)</f>
        <v>0</v>
      </c>
      <c r="L720" s="733"/>
      <c r="M720" s="189"/>
      <c r="N720" s="733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20.25" hidden="1" thickBot="1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IFERROR(__xludf.DUMMYFUNCTION("IMPORTRANGE(""https://docs.google.com/spreadsheets/d/1QqKyyYR6Q21VydFLVH3TRQUabQu_ym0Zz7PgGX0-kHA/edit?usp=sharing"",""แผน!IJ15"")"),0)</f>
        <v>0</v>
      </c>
      <c r="J721" s="648">
        <f ca="1">J723+J726</f>
        <v>0</v>
      </c>
      <c r="K721" s="195">
        <f t="shared" ca="1" si="291"/>
        <v>0</v>
      </c>
      <c r="L721" s="733"/>
      <c r="M721" s="189"/>
      <c r="N721" s="733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20.25" hidden="1" thickBot="1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IFERROR(__xludf.DUMMYFUNCTION("IMPORTRANGE(""https://docs.google.com/spreadsheets/d/1QqKyyYR6Q21VydFLVH3TRQUabQu_ym0Zz7PgGX0-kHA/edit?usp=sharing"",""แผน!IK15"")"),0)</f>
        <v>0</v>
      </c>
      <c r="J722" s="648">
        <f ca="1">J725+J728</f>
        <v>0</v>
      </c>
      <c r="K722" s="195">
        <f t="shared" ca="1" si="291"/>
        <v>0</v>
      </c>
      <c r="L722" s="466"/>
      <c r="M722" s="189"/>
      <c r="N722" s="733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.5" hidden="1" thickBot="1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IFERROR(__xludf.DUMMYFUNCTION("IMPORTRANGE(""https://docs.google.com/spreadsheets/d/1QqKyyYR6Q21VydFLVH3TRQUabQu_ym0Zz7PgGX0-kHA/edit?usp=sharing"",""แผน!IL15"")"),0)</f>
        <v>0</v>
      </c>
      <c r="J723" s="270">
        <f ca="1">IFERROR(__xludf.DUMMYFUNCTION("IMPORTRANGE(""https://docs.google.com/spreadsheets/d/1XWAQStnk-4SwqDmLtmXYiTMKHgktTP8We1SCoS47DrQ/edit?usp=sharing"",""จัดที่ดิน!BM15"")"),0)</f>
        <v>0</v>
      </c>
      <c r="K723" s="466">
        <f t="shared" ca="1" si="291"/>
        <v>0</v>
      </c>
      <c r="L723" s="466"/>
      <c r="M723" s="189"/>
      <c r="N723" s="733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.5" hidden="1" thickBot="1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IFERROR(__xludf.DUMMYFUNCTION("IMPORTRANGE(""https://docs.google.com/spreadsheets/d/1XWAQStnk-4SwqDmLtmXYiTMKHgktTP8We1SCoS47DrQ/edit?usp=sharing"",""จัดที่ดิน!BN15"")"),0)</f>
        <v>0</v>
      </c>
      <c r="K724" s="466"/>
      <c r="L724" s="733"/>
      <c r="M724" s="189"/>
      <c r="N724" s="733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.5" hidden="1" thickBot="1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IFERROR(__xludf.DUMMYFUNCTION("IMPORTRANGE(""https://docs.google.com/spreadsheets/d/1QqKyyYR6Q21VydFLVH3TRQUabQu_ym0Zz7PgGX0-kHA/edit?usp=sharing"",""แผน!IM15"")"),0)</f>
        <v>0</v>
      </c>
      <c r="J725" s="270">
        <f ca="1">IFERROR(__xludf.DUMMYFUNCTION("IMPORTRANGE(""https://docs.google.com/spreadsheets/d/1XWAQStnk-4SwqDmLtmXYiTMKHgktTP8We1SCoS47DrQ/edit?usp=sharing"",""จัดที่ดิน!BO15"")"),0)</f>
        <v>0</v>
      </c>
      <c r="K725" s="466">
        <f t="shared" ref="K725:K726" ca="1" si="292">IF(I725&gt;0,J725*100/I725,0)</f>
        <v>0</v>
      </c>
      <c r="L725" s="733"/>
      <c r="M725" s="189"/>
      <c r="N725" s="733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.5" hidden="1" thickBot="1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IFERROR(__xludf.DUMMYFUNCTION("IMPORTRANGE(""https://docs.google.com/spreadsheets/d/1QqKyyYR6Q21VydFLVH3TRQUabQu_ym0Zz7PgGX0-kHA/edit?usp=sharing"",""แผน!IN15"")"),0)</f>
        <v>0</v>
      </c>
      <c r="J726" s="270">
        <f ca="1">IFERROR(__xludf.DUMMYFUNCTION("IMPORTRANGE(""https://docs.google.com/spreadsheets/d/1XWAQStnk-4SwqDmLtmXYiTMKHgktTP8We1SCoS47DrQ/edit?usp=sharing"",""จัดที่ดิน!BR15"")"),0)</f>
        <v>0</v>
      </c>
      <c r="K726" s="466">
        <f t="shared" ca="1" si="292"/>
        <v>0</v>
      </c>
      <c r="L726" s="466"/>
      <c r="M726" s="189"/>
      <c r="N726" s="733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.5" hidden="1" thickBot="1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IFERROR(__xludf.DUMMYFUNCTION("IMPORTRANGE(""https://docs.google.com/spreadsheets/d/1XWAQStnk-4SwqDmLtmXYiTMKHgktTP8We1SCoS47DrQ/edit?usp=sharing"",""จัดที่ดิน!BS15"")"),0)</f>
        <v>0</v>
      </c>
      <c r="K727" s="466"/>
      <c r="L727" s="733"/>
      <c r="M727" s="189"/>
      <c r="N727" s="733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.5" hidden="1" thickBot="1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IFERROR(__xludf.DUMMYFUNCTION("IMPORTRANGE(""https://docs.google.com/spreadsheets/d/1QqKyyYR6Q21VydFLVH3TRQUabQu_ym0Zz7PgGX0-kHA/edit?usp=sharing"",""แผน!IO15"")"),0)</f>
        <v>0</v>
      </c>
      <c r="J728" s="270">
        <f ca="1">IFERROR(__xludf.DUMMYFUNCTION("IMPORTRANGE(""https://docs.google.com/spreadsheets/d/1XWAQStnk-4SwqDmLtmXYiTMKHgktTP8We1SCoS47DrQ/edit?usp=sharing"",""จัดที่ดิน!BT15"")"),0)</f>
        <v>0</v>
      </c>
      <c r="K728" s="466">
        <f t="shared" ref="K728:K729" ca="1" si="293">IF(I728&gt;0,J728*100/I728,0)</f>
        <v>0</v>
      </c>
      <c r="L728" s="733"/>
      <c r="M728" s="189"/>
      <c r="N728" s="733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20.25" hidden="1" thickBot="1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IFERROR(__xludf.DUMMYFUNCTION("IMPORTRANGE(""https://docs.google.com/spreadsheets/d/1QqKyyYR6Q21VydFLVH3TRQUabQu_ym0Zz7PgGX0-kHA/edit?usp=sharing"",""แผน!IP15"")"),0)</f>
        <v>0</v>
      </c>
      <c r="J729" s="648">
        <f>J732+J735</f>
        <v>0</v>
      </c>
      <c r="K729" s="195">
        <f t="shared" ca="1" si="293"/>
        <v>0</v>
      </c>
      <c r="L729" s="466"/>
      <c r="M729" s="189"/>
      <c r="N729" s="733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.5" hidden="1" thickBot="1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0</v>
      </c>
      <c r="K730" s="466"/>
      <c r="L730" s="733"/>
      <c r="M730" s="466"/>
      <c r="N730" s="733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.5" hidden="1" thickBot="1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0</v>
      </c>
      <c r="K731" s="466"/>
      <c r="L731" s="733"/>
      <c r="M731" s="466"/>
      <c r="N731" s="733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.5" hidden="1" thickBot="1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0</v>
      </c>
      <c r="K732" s="466"/>
      <c r="L732" s="733"/>
      <c r="M732" s="466"/>
      <c r="N732" s="733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.5" hidden="1" thickBot="1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0</v>
      </c>
      <c r="K733" s="466"/>
      <c r="L733" s="733"/>
      <c r="M733" s="466"/>
      <c r="N733" s="733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.5" hidden="1" thickBot="1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0</v>
      </c>
      <c r="K734" s="466"/>
      <c r="L734" s="733"/>
      <c r="M734" s="466"/>
      <c r="N734" s="733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20.25" hidden="1" thickBot="1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0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20.25" hidden="1" thickBot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20.25" hidden="1" thickBot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4">L738+L739</f>
        <v>0</v>
      </c>
      <c r="M737" s="614">
        <f t="shared" si="294"/>
        <v>0</v>
      </c>
      <c r="N737" s="614">
        <f t="shared" si="294"/>
        <v>0</v>
      </c>
      <c r="O737" s="614">
        <f t="shared" ref="O737:O742" si="295">IF(L737&gt;0,N737*100/L737,0)</f>
        <v>0</v>
      </c>
      <c r="P737" s="614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9.5" hidden="1" thickBot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9.5" hidden="1" thickBot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20.25" hidden="1" thickBot="1">
      <c r="A740" s="564"/>
      <c r="B740" s="572"/>
      <c r="C740" s="726"/>
      <c r="D740" s="805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8">L741+L742</f>
        <v>0</v>
      </c>
      <c r="M740" s="614">
        <f t="shared" si="298"/>
        <v>0</v>
      </c>
      <c r="N740" s="614">
        <f t="shared" si="298"/>
        <v>0</v>
      </c>
      <c r="O740" s="614">
        <f t="shared" si="295"/>
        <v>0</v>
      </c>
      <c r="P740" s="614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9.5" hidden="1" thickBot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9.5" hidden="1" thickBot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9.5" hidden="1" thickBot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9.5" hidden="1" thickBot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9.5" hidden="1" thickBot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9.5" hidden="1" thickBot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20.25" hidden="1" thickBot="1">
      <c r="A747" s="564"/>
      <c r="B747" s="572"/>
      <c r="C747" s="726"/>
      <c r="D747" s="805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299">L748+L749</f>
        <v>0</v>
      </c>
      <c r="M747" s="614">
        <f t="shared" si="299"/>
        <v>0</v>
      </c>
      <c r="N747" s="614">
        <f t="shared" si="299"/>
        <v>0</v>
      </c>
      <c r="O747" s="614">
        <f t="shared" ref="O747:O749" si="300">IF(L747&gt;0,N747*100/L747,0)</f>
        <v>0</v>
      </c>
      <c r="P747" s="614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9.5" hidden="1" thickBot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9.5" hidden="1" thickBot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20.25" hidden="1" thickBot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9.5" hidden="1" thickBot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9.5" hidden="1" thickBot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20.25" hidden="1" thickBot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20.25" hidden="1" thickBot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2">L755+L756</f>
        <v>0</v>
      </c>
      <c r="M754" s="614">
        <f t="shared" si="302"/>
        <v>0</v>
      </c>
      <c r="N754" s="614">
        <f t="shared" si="302"/>
        <v>0</v>
      </c>
      <c r="O754" s="614">
        <f t="shared" ref="O754:O759" si="303">IF(L754&gt;0,N754*100/L754,0)</f>
        <v>0</v>
      </c>
      <c r="P754" s="614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9.5" hidden="1" thickBot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9.5" hidden="1" thickBot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20.25" hidden="1" thickBot="1">
      <c r="A757" s="564"/>
      <c r="B757" s="572"/>
      <c r="C757" s="726"/>
      <c r="D757" s="805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6">L758+L759</f>
        <v>0</v>
      </c>
      <c r="M757" s="614">
        <f t="shared" si="306"/>
        <v>0</v>
      </c>
      <c r="N757" s="614">
        <f t="shared" si="306"/>
        <v>0</v>
      </c>
      <c r="O757" s="614">
        <f t="shared" si="303"/>
        <v>0</v>
      </c>
      <c r="P757" s="614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9.5" hidden="1" thickBot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9.5" hidden="1" thickBot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9.5" hidden="1" thickBot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9.5" hidden="1" thickBot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9.5" hidden="1" thickBot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9.5" hidden="1" thickBot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20.25" hidden="1" thickBot="1">
      <c r="A764" s="564"/>
      <c r="B764" s="572"/>
      <c r="C764" s="726"/>
      <c r="D764" s="805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7">L765+L766</f>
        <v>0</v>
      </c>
      <c r="M764" s="614">
        <f t="shared" si="307"/>
        <v>0</v>
      </c>
      <c r="N764" s="614">
        <f t="shared" si="307"/>
        <v>0</v>
      </c>
      <c r="O764" s="614">
        <f t="shared" ref="O764:O766" si="308">IF(L764&gt;0,N764*100/L764,0)</f>
        <v>0</v>
      </c>
      <c r="P764" s="614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9.5" hidden="1" thickBot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9.5" hidden="1" thickBot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20.25" hidden="1" thickBot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9.5" hidden="1" thickBot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20.25" hidden="1" thickBot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20.25" hidden="1" thickBot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0">L771+L772</f>
        <v>0</v>
      </c>
      <c r="M770" s="614">
        <f t="shared" si="310"/>
        <v>0</v>
      </c>
      <c r="N770" s="614">
        <f t="shared" si="310"/>
        <v>0</v>
      </c>
      <c r="O770" s="614">
        <f t="shared" ref="O770:O775" si="311">IF(L770&gt;0,N770*100/L770,0)</f>
        <v>0</v>
      </c>
      <c r="P770" s="614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9.5" hidden="1" thickBot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9.5" hidden="1" thickBot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20.25" hidden="1" thickBot="1">
      <c r="A773" s="564"/>
      <c r="B773" s="572"/>
      <c r="C773" s="726"/>
      <c r="D773" s="805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4">L774+L775</f>
        <v>0</v>
      </c>
      <c r="M773" s="614">
        <f t="shared" si="314"/>
        <v>0</v>
      </c>
      <c r="N773" s="614">
        <f t="shared" si="314"/>
        <v>0</v>
      </c>
      <c r="O773" s="614">
        <f t="shared" si="311"/>
        <v>0</v>
      </c>
      <c r="P773" s="614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9.5" hidden="1" thickBot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9.5" hidden="1" thickBot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9.5" hidden="1" thickBot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9.5" hidden="1" thickBot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9.5" hidden="1" thickBot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9.5" hidden="1" thickBot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20.25" hidden="1" thickBot="1">
      <c r="A780" s="564"/>
      <c r="B780" s="572"/>
      <c r="C780" s="726"/>
      <c r="D780" s="805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5">L781+L782</f>
        <v>0</v>
      </c>
      <c r="M780" s="614">
        <f t="shared" si="315"/>
        <v>0</v>
      </c>
      <c r="N780" s="614">
        <f t="shared" si="315"/>
        <v>0</v>
      </c>
      <c r="O780" s="614">
        <f t="shared" ref="O780:O782" si="316">IF(L780&gt;0,N780*100/L780,0)</f>
        <v>0</v>
      </c>
      <c r="P780" s="614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9.5" hidden="1" thickBot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9.5" hidden="1" thickBot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20.25" hidden="1" thickBot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9.5" hidden="1" thickBot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20.25" hidden="1" thickBot="1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773" t="s">
        <v>46</v>
      </c>
      <c r="I785" s="863">
        <f ca="1">I800</f>
        <v>0</v>
      </c>
      <c r="J785" s="774">
        <f ca="1">J801</f>
        <v>0</v>
      </c>
      <c r="K785" s="775">
        <f ca="1">IF(I785&gt;0,J785*100/I785,0)</f>
        <v>0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20.25" hidden="1" thickBot="1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563" t="s">
        <v>12</v>
      </c>
      <c r="I786" s="270"/>
      <c r="J786" s="270"/>
      <c r="K786" s="46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.5" hidden="1" thickBot="1">
      <c r="A787" s="564"/>
      <c r="B787" s="572"/>
      <c r="C787" s="726"/>
      <c r="D787" s="687"/>
      <c r="E787" s="726" t="s">
        <v>184</v>
      </c>
      <c r="F787" s="726"/>
      <c r="G787" s="568"/>
      <c r="H787" s="165" t="s">
        <v>12</v>
      </c>
      <c r="I787" s="584"/>
      <c r="J787" s="584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9.5" hidden="1" thickBot="1">
      <c r="A788" s="564"/>
      <c r="B788" s="572"/>
      <c r="C788" s="572"/>
      <c r="D788" s="581"/>
      <c r="E788" s="726" t="s">
        <v>185</v>
      </c>
      <c r="F788" s="726"/>
      <c r="G788" s="568"/>
      <c r="H788" s="165" t="s">
        <v>12</v>
      </c>
      <c r="I788" s="584"/>
      <c r="J788" s="584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9.5" hidden="1" thickBot="1">
      <c r="A789" s="562"/>
      <c r="B789" s="539"/>
      <c r="C789" s="539"/>
      <c r="D789" s="571" t="s">
        <v>20</v>
      </c>
      <c r="E789" s="730"/>
      <c r="F789" s="730"/>
      <c r="G789" s="189"/>
      <c r="H789" s="779" t="s">
        <v>12</v>
      </c>
      <c r="I789" s="184"/>
      <c r="J789" s="184"/>
      <c r="K789" s="163"/>
      <c r="L789" s="466">
        <f t="shared" ref="L789:N789" ca="1" si="322">L790+L791</f>
        <v>0</v>
      </c>
      <c r="M789" s="466">
        <f t="shared" si="322"/>
        <v>0</v>
      </c>
      <c r="N789" s="466">
        <f t="shared" si="322"/>
        <v>0</v>
      </c>
      <c r="O789" s="466">
        <f t="shared" ca="1" si="319"/>
        <v>0</v>
      </c>
      <c r="P789" s="466">
        <f t="shared" si="320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.5" hidden="1" thickBot="1">
      <c r="A790" s="564"/>
      <c r="B790" s="572"/>
      <c r="C790" s="572"/>
      <c r="D790" s="581"/>
      <c r="E790" s="726" t="s">
        <v>184</v>
      </c>
      <c r="F790" s="726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9.5" hidden="1" thickBot="1">
      <c r="A791" s="564"/>
      <c r="B791" s="572"/>
      <c r="C791" s="572"/>
      <c r="D791" s="581"/>
      <c r="E791" s="726" t="s">
        <v>185</v>
      </c>
      <c r="F791" s="726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IFERROR(__xludf.DUMMYFUNCTION("IMPORTRANGE(""https://docs.google.com/spreadsheets/d/1QqKyyYR6Q21VydFLVH3TRQUabQu_ym0Zz7PgGX0-kHA/edit?usp=sharing"",""แผน!JJ15"")"),0)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9.5" hidden="1" thickBot="1">
      <c r="A792" s="538"/>
      <c r="B792" s="539"/>
      <c r="C792" s="730"/>
      <c r="D792" s="730"/>
      <c r="E792" s="730"/>
      <c r="F792" s="730" t="s">
        <v>186</v>
      </c>
      <c r="G792" s="189"/>
      <c r="H792" s="779" t="s">
        <v>12</v>
      </c>
      <c r="I792" s="270"/>
      <c r="J792" s="270"/>
      <c r="K792" s="466"/>
      <c r="L792" s="466"/>
      <c r="M792" s="466"/>
      <c r="N792" s="801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.5" hidden="1" thickBot="1">
      <c r="A793" s="538"/>
      <c r="B793" s="539"/>
      <c r="C793" s="730"/>
      <c r="D793" s="730"/>
      <c r="E793" s="730"/>
      <c r="F793" s="730" t="s">
        <v>187</v>
      </c>
      <c r="G793" s="189"/>
      <c r="H793" s="779" t="s">
        <v>12</v>
      </c>
      <c r="I793" s="270"/>
      <c r="J793" s="270"/>
      <c r="K793" s="466"/>
      <c r="L793" s="466"/>
      <c r="M793" s="466"/>
      <c r="N793" s="801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.5" hidden="1" thickBot="1">
      <c r="A794" s="538"/>
      <c r="B794" s="539"/>
      <c r="C794" s="730"/>
      <c r="D794" s="730"/>
      <c r="E794" s="730"/>
      <c r="F794" s="730" t="s">
        <v>188</v>
      </c>
      <c r="G794" s="189"/>
      <c r="H794" s="779" t="s">
        <v>12</v>
      </c>
      <c r="I794" s="270"/>
      <c r="J794" s="270"/>
      <c r="K794" s="466"/>
      <c r="L794" s="466"/>
      <c r="M794" s="466"/>
      <c r="N794" s="801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.5" hidden="1" thickBot="1">
      <c r="A795" s="538"/>
      <c r="B795" s="539"/>
      <c r="C795" s="730"/>
      <c r="D795" s="730"/>
      <c r="E795" s="730"/>
      <c r="F795" s="730" t="s">
        <v>189</v>
      </c>
      <c r="G795" s="189"/>
      <c r="H795" s="779" t="s">
        <v>12</v>
      </c>
      <c r="I795" s="270"/>
      <c r="J795" s="270"/>
      <c r="K795" s="466"/>
      <c r="L795" s="466"/>
      <c r="M795" s="466"/>
      <c r="N795" s="801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.5" hidden="1" thickBot="1">
      <c r="A796" s="562"/>
      <c r="B796" s="539"/>
      <c r="C796" s="730"/>
      <c r="D796" s="571" t="s">
        <v>21</v>
      </c>
      <c r="E796" s="730"/>
      <c r="F796" s="730"/>
      <c r="G796" s="189"/>
      <c r="H796" s="168" t="s">
        <v>12</v>
      </c>
      <c r="I796" s="184"/>
      <c r="J796" s="184"/>
      <c r="K796" s="163"/>
      <c r="L796" s="466">
        <f t="shared" ref="L796:N796" si="323">L797+L798</f>
        <v>0</v>
      </c>
      <c r="M796" s="466">
        <f t="shared" si="323"/>
        <v>0</v>
      </c>
      <c r="N796" s="466">
        <f t="shared" si="323"/>
        <v>0</v>
      </c>
      <c r="O796" s="466">
        <f t="shared" ref="O796:O798" si="324">IF(L796&gt;0,N796*100/L796,0)</f>
        <v>0</v>
      </c>
      <c r="P796" s="466">
        <f t="shared" ref="P796:P798" si="325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.5" hidden="1" thickBot="1">
      <c r="A797" s="564"/>
      <c r="B797" s="572"/>
      <c r="C797" s="726"/>
      <c r="D797" s="726"/>
      <c r="E797" s="726" t="s">
        <v>18</v>
      </c>
      <c r="F797" s="726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9.5" hidden="1" thickBot="1">
      <c r="A798" s="564"/>
      <c r="B798" s="572"/>
      <c r="C798" s="726"/>
      <c r="D798" s="726"/>
      <c r="E798" s="726" t="s">
        <v>19</v>
      </c>
      <c r="F798" s="726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20.25" hidden="1" thickBot="1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777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.5" hidden="1" thickBot="1">
      <c r="A800" s="573"/>
      <c r="B800" s="585"/>
      <c r="C800" s="585"/>
      <c r="D800" s="585"/>
      <c r="E800" s="593"/>
      <c r="F800" s="593" t="s">
        <v>320</v>
      </c>
      <c r="G800" s="729"/>
      <c r="H800" s="778" t="s">
        <v>34</v>
      </c>
      <c r="I800" s="184">
        <f ca="1">IFERROR(__xludf.DUMMYFUNCTION("IMPORTRANGE(""https://docs.google.com/spreadsheets/d/1QqKyyYR6Q21VydFLVH3TRQUabQu_ym0Zz7PgGX0-kHA/edit?usp=sharing"",""แผน!JN15"")"),0)</f>
        <v>0</v>
      </c>
      <c r="J800" s="184">
        <f ca="1">IFERROR(__xludf.DUMMYFUNCTION("IMPORTRANGE(""https://docs.google.com/spreadsheets/d/1MaWodYyGHDf7siQLGxnXhG4mBNTNIuy296niS2xXulU/edit?usp=sharing"",""RTK!H15"")"),0)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.5" hidden="1" thickBot="1">
      <c r="A801" s="573"/>
      <c r="B801" s="585"/>
      <c r="C801" s="585"/>
      <c r="D801" s="585"/>
      <c r="E801" s="593"/>
      <c r="F801" s="593"/>
      <c r="G801" s="729"/>
      <c r="H801" s="779" t="s">
        <v>46</v>
      </c>
      <c r="I801" s="184"/>
      <c r="J801" s="270">
        <f ca="1">IFERROR(__xludf.DUMMYFUNCTION("IMPORTRANGE(""https://docs.google.com/spreadsheets/d/1MaWodYyGHDf7siQLGxnXhG4mBNTNIuy296niS2xXulU/edit?usp=sharing"",""RTK!I15"")"),0)</f>
        <v>0</v>
      </c>
      <c r="K801" s="466"/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.5" hidden="1" thickBot="1">
      <c r="A802" s="579"/>
      <c r="B802" s="581"/>
      <c r="C802" s="581"/>
      <c r="D802" s="581"/>
      <c r="E802" s="687"/>
      <c r="F802" s="687" t="s">
        <v>321</v>
      </c>
      <c r="G802" s="582"/>
      <c r="H802" s="620" t="s">
        <v>46</v>
      </c>
      <c r="I802" s="166"/>
      <c r="J802" s="584"/>
      <c r="K802" s="167">
        <f>IF(I802&gt;0,J802*100/I802,0)</f>
        <v>0</v>
      </c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9.5" hidden="1" thickBot="1">
      <c r="A803" s="579"/>
      <c r="B803" s="581"/>
      <c r="C803" s="581"/>
      <c r="D803" s="581"/>
      <c r="E803" s="687"/>
      <c r="F803" s="687"/>
      <c r="G803" s="582"/>
      <c r="H803" s="620" t="s">
        <v>34</v>
      </c>
      <c r="I803" s="166"/>
      <c r="J803" s="584"/>
      <c r="K803" s="167"/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20.25" hidden="1" thickBot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>IF(I804&gt;0,J804*100/I804,0)</f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20.25" hidden="1" thickBot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6">L806+L807</f>
        <v>0</v>
      </c>
      <c r="M805" s="614">
        <f t="shared" si="326"/>
        <v>0</v>
      </c>
      <c r="N805" s="614">
        <f t="shared" si="326"/>
        <v>0</v>
      </c>
      <c r="O805" s="614">
        <f t="shared" ref="O805:O810" si="327">IF(L805&gt;0,N805*100/L805,0)</f>
        <v>0</v>
      </c>
      <c r="P805" s="614">
        <f t="shared" ref="P805:P810" si="328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9.5" hidden="1" thickBot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9.5" hidden="1" thickBot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20.25" hidden="1" thickBot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0">L809+L810</f>
        <v>0</v>
      </c>
      <c r="M808" s="614">
        <f t="shared" si="330"/>
        <v>0</v>
      </c>
      <c r="N808" s="614">
        <f t="shared" si="330"/>
        <v>0</v>
      </c>
      <c r="O808" s="614">
        <f t="shared" si="327"/>
        <v>0</v>
      </c>
      <c r="P808" s="614">
        <f t="shared" si="328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9.5" hidden="1" thickBot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9.5" hidden="1" thickBot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9.5" hidden="1" thickBot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9.5" hidden="1" thickBot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9.5" hidden="1" thickBot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9.5" hidden="1" thickBot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20.25" hidden="1" thickBot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1">L816+L817</f>
        <v>0</v>
      </c>
      <c r="M815" s="614">
        <f t="shared" si="331"/>
        <v>0</v>
      </c>
      <c r="N815" s="614">
        <f t="shared" si="331"/>
        <v>0</v>
      </c>
      <c r="O815" s="614">
        <f t="shared" ref="O815:O817" si="332">IF(L815&gt;0,N815*100/L815,0)</f>
        <v>0</v>
      </c>
      <c r="P815" s="614">
        <f t="shared" ref="P815:P817" si="333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9.5" hidden="1" thickBot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9.5" hidden="1" thickBot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20.25" hidden="1" thickBot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64" t="s">
        <v>332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69"/>
      <c r="J820" s="869"/>
      <c r="K820" s="870"/>
      <c r="L820" s="870"/>
      <c r="M820" s="870"/>
      <c r="N820" s="870"/>
      <c r="O820" s="870"/>
      <c r="P820" s="870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IFERROR(__xludf.DUMMYFUNCTION("IMPORTRANGE(""https://docs.google.com/spreadsheets/d/19vJNZY_5yjcGF2XGBMNZRCAIB0Kwfpjp8YEOfu-bneM/edit?usp=sharing"",""งานกองทุน!D15"")"),5147244.11)</f>
        <v>5147244.1100000003</v>
      </c>
      <c r="J821" s="270">
        <f ca="1">IFERROR(__xludf.DUMMYFUNCTION("IMPORTRANGE(""https://docs.google.com/spreadsheets/d/19vJNZY_5yjcGF2XGBMNZRCAIB0Kwfpjp8YEOfu-bneM/edit?usp=sharing"",""งานกองทุน!F15"")"),546223.68)</f>
        <v>546223.68000000005</v>
      </c>
      <c r="K821" s="466">
        <f t="shared" ref="K821:K828" ca="1" si="334">IF(I821&gt;0,J821*100/I821,0)</f>
        <v>10.611963767927845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IFERROR(__xludf.DUMMYFUNCTION("IMPORTRANGE(""https://docs.google.com/spreadsheets/d/19vJNZY_5yjcGF2XGBMNZRCAIB0Kwfpjp8YEOfu-bneM/edit?usp=sharing"",""งานกองทุน!C15"")"),193)</f>
        <v>193</v>
      </c>
      <c r="J822" s="270">
        <f ca="1">IFERROR(__xludf.DUMMYFUNCTION("IMPORTRANGE(""https://docs.google.com/spreadsheets/d/19vJNZY_5yjcGF2XGBMNZRCAIB0Kwfpjp8YEOfu-bneM/edit?usp=sharing"",""งานกองทุน!E15"")"),23)</f>
        <v>23</v>
      </c>
      <c r="K822" s="466">
        <f t="shared" ca="1" si="334"/>
        <v>11.917098445595855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IFERROR(__xludf.DUMMYFUNCTION("IMPORTRANGE(""https://docs.google.com/spreadsheets/d/19vJNZY_5yjcGF2XGBMNZRCAIB0Kwfpjp8YEOfu-bneM/edit?usp=sharing"",""งานกองทุน!I15"")"),5956520.01)</f>
        <v>5956520.0099999998</v>
      </c>
      <c r="J823" s="270">
        <f ca="1">IFERROR(__xludf.DUMMYFUNCTION("IMPORTRANGE(""https://docs.google.com/spreadsheets/d/19vJNZY_5yjcGF2XGBMNZRCAIB0Kwfpjp8YEOfu-bneM/edit?usp=sharing"",""งานกองทุน!K15"")"),178085.19)</f>
        <v>178085.19</v>
      </c>
      <c r="K823" s="466">
        <f t="shared" ca="1" si="334"/>
        <v>2.9897522328645718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IFERROR(__xludf.DUMMYFUNCTION("IMPORTRANGE(""https://docs.google.com/spreadsheets/d/19vJNZY_5yjcGF2XGBMNZRCAIB0Kwfpjp8YEOfu-bneM/edit?usp=sharing"",""งานกองทุน!H15"")"),150)</f>
        <v>150</v>
      </c>
      <c r="J824" s="270">
        <f ca="1">IFERROR(__xludf.DUMMYFUNCTION("IMPORTRANGE(""https://docs.google.com/spreadsheets/d/19vJNZY_5yjcGF2XGBMNZRCAIB0Kwfpjp8YEOfu-bneM/edit?usp=sharing"",""งานกองทุน!J15"")"),51)</f>
        <v>51</v>
      </c>
      <c r="K824" s="466">
        <f t="shared" ca="1" si="334"/>
        <v>34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IFERROR(__xludf.DUMMYFUNCTION("IMPORTRANGE(""https://docs.google.com/spreadsheets/d/19vJNZY_5yjcGF2XGBMNZRCAIB0Kwfpjp8YEOfu-bneM/edit?usp=sharing"",""งานกองทุน!N15"")"),1205473.28)</f>
        <v>1205473.28</v>
      </c>
      <c r="J825" s="270">
        <f ca="1">IFERROR(__xludf.DUMMYFUNCTION("IMPORTRANGE(""https://docs.google.com/spreadsheets/d/19vJNZY_5yjcGF2XGBMNZRCAIB0Kwfpjp8YEOfu-bneM/edit?usp=sharing"",""งานกองทุน!P15"")"),279234.5)</f>
        <v>279234.5</v>
      </c>
      <c r="K825" s="466">
        <f t="shared" ca="1" si="334"/>
        <v>23.163889621842134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IFERROR(__xludf.DUMMYFUNCTION("IMPORTRANGE(""https://docs.google.com/spreadsheets/d/19vJNZY_5yjcGF2XGBMNZRCAIB0Kwfpjp8YEOfu-bneM/edit?usp=sharing"",""งานกองทุน!M15"")"),49)</f>
        <v>49</v>
      </c>
      <c r="J826" s="270">
        <f ca="1">IFERROR(__xludf.DUMMYFUNCTION("IMPORTRANGE(""https://docs.google.com/spreadsheets/d/19vJNZY_5yjcGF2XGBMNZRCAIB0Kwfpjp8YEOfu-bneM/edit?usp=sharing"",""งานกองทุน!O15"")"),15)</f>
        <v>15</v>
      </c>
      <c r="K826" s="466">
        <f t="shared" ca="1" si="334"/>
        <v>30.612244897959183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IFERROR(__xludf.DUMMYFUNCTION("IMPORTRANGE(""https://docs.google.com/spreadsheets/d/19vJNZY_5yjcGF2XGBMNZRCAIB0Kwfpjp8YEOfu-bneM/edit?usp=sharing"",""งานกองทุน!S15"")"),5880000)</f>
        <v>5880000</v>
      </c>
      <c r="J827" s="270">
        <f ca="1">IFERROR(__xludf.DUMMYFUNCTION("IMPORTRANGE(""https://docs.google.com/spreadsheets/d/19vJNZY_5yjcGF2XGBMNZRCAIB0Kwfpjp8YEOfu-bneM/edit?usp=sharing"",""งานกองทุน!U15"")"),0)</f>
        <v>0</v>
      </c>
      <c r="K827" s="466">
        <f t="shared" ca="1" si="334"/>
        <v>0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IFERROR(__xludf.DUMMYFUNCTION("IMPORTRANGE(""https://docs.google.com/spreadsheets/d/19vJNZY_5yjcGF2XGBMNZRCAIB0Kwfpjp8YEOfu-bneM/edit?usp=sharing"",""งานกองทุน!R15"")"),235)</f>
        <v>235</v>
      </c>
      <c r="J828" s="469">
        <f ca="1">IFERROR(__xludf.DUMMYFUNCTION("IMPORTRANGE(""https://docs.google.com/spreadsheets/d/19vJNZY_5yjcGF2XGBMNZRCAIB0Kwfpjp8YEOfu-bneM/edit?usp=sharing"",""งานกองทุน!T15"")"),0)</f>
        <v>0</v>
      </c>
      <c r="K828" s="470">
        <f t="shared" ca="1" si="334"/>
        <v>0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F20FE-53BB-4B8E-BDE6-890F39D4F4E6}">
  <sheetPr>
    <outlinePr summaryBelow="0" summaryRight="0"/>
    <pageSetUpPr fitToPage="1"/>
  </sheetPr>
  <dimension ref="A1:P828"/>
  <sheetViews>
    <sheetView view="pageBreakPreview" zoomScale="60" zoomScaleNormal="100" workbookViewId="0">
      <selection sqref="A1:P1"/>
    </sheetView>
  </sheetViews>
  <sheetFormatPr defaultColWidth="12.5703125" defaultRowHeight="15.75" customHeight="1"/>
  <cols>
    <col min="1" max="3" width="3.28515625" style="804" customWidth="1"/>
    <col min="4" max="6" width="5.85546875" style="804" customWidth="1"/>
    <col min="7" max="7" width="56.42578125" style="804" customWidth="1"/>
    <col min="8" max="8" width="9.42578125" style="804" customWidth="1"/>
    <col min="9" max="9" width="16.85546875" style="804" bestFit="1" customWidth="1"/>
    <col min="10" max="10" width="14.42578125" style="804" bestFit="1" customWidth="1"/>
    <col min="11" max="11" width="12.5703125" style="804" customWidth="1"/>
    <col min="12" max="13" width="20.28515625" style="804" bestFit="1" customWidth="1"/>
    <col min="14" max="14" width="21.28515625" style="804" bestFit="1" customWidth="1"/>
    <col min="15" max="16" width="17.5703125" style="804" customWidth="1"/>
    <col min="17" max="16384" width="12.5703125" style="804"/>
  </cols>
  <sheetData>
    <row r="1" spans="1:1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16" ht="19.5">
      <c r="A2" s="910" t="s">
        <v>334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1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1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1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1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1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1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6724205</v>
      </c>
      <c r="M8" s="22">
        <f t="shared" ca="1" si="0"/>
        <v>3382830</v>
      </c>
      <c r="N8" s="22">
        <f t="shared" ca="1" si="0"/>
        <v>2417040.92</v>
      </c>
      <c r="O8" s="22">
        <f t="shared" ref="O8:O16" ca="1" si="1">IF(L8&gt;0,N8*100/L8,0)</f>
        <v>35.945378226868456</v>
      </c>
      <c r="P8" s="22">
        <f t="shared" ref="P8:P16" ca="1" si="2">IF(M8&gt;0,N8*100/M8,0)</f>
        <v>71.450262649911465</v>
      </c>
    </row>
    <row r="9" spans="1:1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</row>
    <row r="10" spans="1:1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6724205</v>
      </c>
      <c r="M10" s="30">
        <f t="shared" ca="1" si="3"/>
        <v>3382830</v>
      </c>
      <c r="N10" s="30">
        <f t="shared" ca="1" si="3"/>
        <v>2417040.92</v>
      </c>
      <c r="O10" s="30">
        <f t="shared" ca="1" si="1"/>
        <v>35.945378226868456</v>
      </c>
      <c r="P10" s="30">
        <f t="shared" ca="1" si="2"/>
        <v>71.450262649911465</v>
      </c>
    </row>
    <row r="11" spans="1:1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6448405</v>
      </c>
      <c r="M11" s="466">
        <f t="shared" ca="1" si="4"/>
        <v>3110230</v>
      </c>
      <c r="N11" s="466">
        <f t="shared" ca="1" si="4"/>
        <v>2144440.92</v>
      </c>
      <c r="O11" s="466">
        <f t="shared" ca="1" si="1"/>
        <v>33.255369661179778</v>
      </c>
      <c r="P11" s="466">
        <f t="shared" ca="1" si="2"/>
        <v>68.947985197236221</v>
      </c>
    </row>
    <row r="12" spans="1:1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</row>
    <row r="13" spans="1:1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6448405</v>
      </c>
      <c r="M13" s="93">
        <f t="shared" ca="1" si="5"/>
        <v>3110230</v>
      </c>
      <c r="N13" s="93">
        <f t="shared" ca="1" si="5"/>
        <v>2144440.92</v>
      </c>
      <c r="O13" s="93">
        <f t="shared" ca="1" si="1"/>
        <v>33.255369661179778</v>
      </c>
      <c r="P13" s="93">
        <f t="shared" ca="1" si="2"/>
        <v>68.947985197236221</v>
      </c>
    </row>
    <row r="14" spans="1:1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275800</v>
      </c>
      <c r="M14" s="466">
        <f t="shared" ca="1" si="6"/>
        <v>272600</v>
      </c>
      <c r="N14" s="466">
        <f t="shared" ca="1" si="6"/>
        <v>272600</v>
      </c>
      <c r="O14" s="466">
        <f t="shared" ca="1" si="1"/>
        <v>98.839738941261785</v>
      </c>
      <c r="P14" s="466">
        <f t="shared" ca="1" si="2"/>
        <v>100</v>
      </c>
    </row>
    <row r="15" spans="1:1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</row>
    <row r="16" spans="1:1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275800</v>
      </c>
      <c r="M16" s="52">
        <f t="shared" ca="1" si="7"/>
        <v>272600</v>
      </c>
      <c r="N16" s="52">
        <f t="shared" ca="1" si="7"/>
        <v>272600</v>
      </c>
      <c r="O16" s="52">
        <f t="shared" ca="1" si="1"/>
        <v>98.839738941261785</v>
      </c>
      <c r="P16" s="52">
        <f t="shared" ca="1" si="2"/>
        <v>100</v>
      </c>
    </row>
    <row r="17" spans="1:1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1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4070285</v>
      </c>
      <c r="M18" s="22">
        <f t="shared" ca="1" si="8"/>
        <v>3382830</v>
      </c>
      <c r="N18" s="22">
        <f t="shared" ca="1" si="8"/>
        <v>1912142.43</v>
      </c>
      <c r="O18" s="22">
        <f t="shared" ref="O18:O26" ca="1" si="9">IF(L18&gt;0,N18*100/L18,0)</f>
        <v>46.978096865452912</v>
      </c>
      <c r="P18" s="22">
        <f t="shared" ref="P18:P26" ca="1" si="10">IF(M18&gt;0,N18*100/M18,0)</f>
        <v>56.524934152765582</v>
      </c>
    </row>
    <row r="19" spans="1:1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</row>
    <row r="20" spans="1:1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4070285</v>
      </c>
      <c r="M20" s="30">
        <f t="shared" ca="1" si="11"/>
        <v>3382830</v>
      </c>
      <c r="N20" s="30">
        <f t="shared" ca="1" si="11"/>
        <v>1912142.43</v>
      </c>
      <c r="O20" s="30">
        <f t="shared" ca="1" si="9"/>
        <v>46.978096865452912</v>
      </c>
      <c r="P20" s="30">
        <f t="shared" ca="1" si="10"/>
        <v>56.524934152765582</v>
      </c>
    </row>
    <row r="21" spans="1:1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3794485</v>
      </c>
      <c r="M21" s="466">
        <f t="shared" ca="1" si="12"/>
        <v>3110230</v>
      </c>
      <c r="N21" s="466">
        <f t="shared" ca="1" si="12"/>
        <v>1639542.43</v>
      </c>
      <c r="O21" s="466">
        <f t="shared" ca="1" si="9"/>
        <v>43.208562690325564</v>
      </c>
      <c r="P21" s="466">
        <f t="shared" ca="1" si="10"/>
        <v>52.714507608762055</v>
      </c>
    </row>
    <row r="22" spans="1:1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</row>
    <row r="23" spans="1:1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3794485</v>
      </c>
      <c r="M23" s="93">
        <f t="shared" ca="1" si="13"/>
        <v>3110230</v>
      </c>
      <c r="N23" s="93">
        <f t="shared" ca="1" si="13"/>
        <v>1639542.43</v>
      </c>
      <c r="O23" s="93">
        <f t="shared" ca="1" si="9"/>
        <v>43.208562690325564</v>
      </c>
      <c r="P23" s="93">
        <f t="shared" ca="1" si="10"/>
        <v>52.714507608762055</v>
      </c>
    </row>
    <row r="24" spans="1:1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275800</v>
      </c>
      <c r="M24" s="466">
        <f t="shared" ca="1" si="14"/>
        <v>272600</v>
      </c>
      <c r="N24" s="466">
        <f t="shared" ca="1" si="14"/>
        <v>272600</v>
      </c>
      <c r="O24" s="466">
        <f t="shared" ca="1" si="9"/>
        <v>98.839738941261785</v>
      </c>
      <c r="P24" s="466">
        <f t="shared" ca="1" si="10"/>
        <v>100</v>
      </c>
    </row>
    <row r="25" spans="1:1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</row>
    <row r="26" spans="1:1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275800</v>
      </c>
      <c r="M26" s="52">
        <f t="shared" ca="1" si="15"/>
        <v>272600</v>
      </c>
      <c r="N26" s="52">
        <f t="shared" ca="1" si="15"/>
        <v>272600</v>
      </c>
      <c r="O26" s="52">
        <f t="shared" ca="1" si="9"/>
        <v>98.839738941261785</v>
      </c>
      <c r="P26" s="52">
        <f t="shared" ca="1" si="10"/>
        <v>100</v>
      </c>
    </row>
    <row r="27" spans="1:1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1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2653920</v>
      </c>
      <c r="M28" s="22">
        <f t="shared" si="16"/>
        <v>0</v>
      </c>
      <c r="N28" s="22">
        <f t="shared" si="16"/>
        <v>504898.49</v>
      </c>
      <c r="O28" s="22">
        <f t="shared" ref="O28:O37" ca="1" si="17">IF(L28&gt;0,N28*100/L28,0)</f>
        <v>19.024631111713994</v>
      </c>
      <c r="P28" s="22">
        <f t="shared" ref="P28:P37" si="18">IF(M28&gt;0,N28*100/M28,0)</f>
        <v>0</v>
      </c>
    </row>
    <row r="29" spans="1:1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</row>
    <row r="30" spans="1:1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2653920</v>
      </c>
      <c r="M30" s="30">
        <f t="shared" si="19"/>
        <v>0</v>
      </c>
      <c r="N30" s="30">
        <f t="shared" si="19"/>
        <v>504898.49</v>
      </c>
      <c r="O30" s="30">
        <f t="shared" ca="1" si="17"/>
        <v>19.024631111713994</v>
      </c>
      <c r="P30" s="30">
        <f t="shared" si="18"/>
        <v>0</v>
      </c>
    </row>
    <row r="31" spans="1:1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2653920</v>
      </c>
      <c r="M31" s="466">
        <f t="shared" si="20"/>
        <v>0</v>
      </c>
      <c r="N31" s="466">
        <f t="shared" si="20"/>
        <v>504898.49</v>
      </c>
      <c r="O31" s="466">
        <f t="shared" ca="1" si="17"/>
        <v>19.024631111713994</v>
      </c>
      <c r="P31" s="466">
        <f t="shared" si="18"/>
        <v>0</v>
      </c>
    </row>
    <row r="32" spans="1:1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</row>
    <row r="33" spans="1:1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2653920</v>
      </c>
      <c r="M33" s="93">
        <f t="shared" si="21"/>
        <v>0</v>
      </c>
      <c r="N33" s="93">
        <f t="shared" si="21"/>
        <v>504898.49</v>
      </c>
      <c r="O33" s="93">
        <f t="shared" ca="1" si="17"/>
        <v>19.024631111713994</v>
      </c>
      <c r="P33" s="93">
        <f t="shared" si="18"/>
        <v>0</v>
      </c>
    </row>
    <row r="34" spans="1:1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</row>
    <row r="35" spans="1:1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</row>
    <row r="36" spans="1:1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</row>
    <row r="37" spans="1:1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4070285</v>
      </c>
      <c r="M37" s="812">
        <f t="shared" ca="1" si="24"/>
        <v>3382830</v>
      </c>
      <c r="N37" s="812">
        <f t="shared" ca="1" si="24"/>
        <v>1912142.43</v>
      </c>
      <c r="O37" s="812">
        <f t="shared" ca="1" si="17"/>
        <v>46.978096865452912</v>
      </c>
      <c r="P37" s="812">
        <f t="shared" ca="1" si="18"/>
        <v>56.524934152765582</v>
      </c>
    </row>
    <row r="38" spans="1:1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1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1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1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849550</v>
      </c>
      <c r="M41" s="85">
        <f t="shared" ca="1" si="25"/>
        <v>852280</v>
      </c>
      <c r="N41" s="85">
        <f t="shared" ca="1" si="25"/>
        <v>348178</v>
      </c>
      <c r="O41" s="85">
        <f t="shared" ref="O41:O49" ca="1" si="26">IF(L41&gt;0,N41*100/L41,0)</f>
        <v>40.983814960861629</v>
      </c>
      <c r="P41" s="85">
        <f t="shared" ref="P41:P49" ca="1" si="27">IF(M41&gt;0,N41*100/M41,0)</f>
        <v>40.852536725019945</v>
      </c>
    </row>
    <row r="42" spans="1:1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</row>
    <row r="43" spans="1:1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849550</v>
      </c>
      <c r="M43" s="92">
        <f t="shared" ca="1" si="28"/>
        <v>852280</v>
      </c>
      <c r="N43" s="92">
        <f t="shared" ca="1" si="28"/>
        <v>348178</v>
      </c>
      <c r="O43" s="92">
        <f t="shared" ca="1" si="26"/>
        <v>40.983814960861629</v>
      </c>
      <c r="P43" s="92">
        <f t="shared" ca="1" si="27"/>
        <v>40.852536725019945</v>
      </c>
    </row>
    <row r="44" spans="1:1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849550</v>
      </c>
      <c r="M44" s="466">
        <f t="shared" ca="1" si="29"/>
        <v>852280</v>
      </c>
      <c r="N44" s="466">
        <f t="shared" ca="1" si="29"/>
        <v>348178</v>
      </c>
      <c r="O44" s="466">
        <f t="shared" ca="1" si="26"/>
        <v>40.983814960861629</v>
      </c>
      <c r="P44" s="466">
        <f t="shared" ca="1" si="27"/>
        <v>40.852536725019945</v>
      </c>
    </row>
    <row r="45" spans="1:1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</row>
    <row r="46" spans="1:1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IFERROR(__xludf.DUMMYFUNCTION("IMPORTRANGE(""https://docs.google.com/spreadsheets/d/1MeEWN-I1oV_STSDYn1IFDPWt_1FKiwhDph83XaGc0o0/edit?usp=sharing"",""งบพรบ!M16"")"),849550)</f>
        <v>849550</v>
      </c>
      <c r="M46" s="93">
        <f ca="1">IFERROR(__xludf.DUMMYFUNCTION("IMPORTRANGE(""https://docs.google.com/spreadsheets/d/1MeEWN-I1oV_STSDYn1IFDPWt_1FKiwhDph83XaGc0o0/edit?usp=sharing"",""งบพรบ!R16"")"),852280)</f>
        <v>852280</v>
      </c>
      <c r="N46" s="93">
        <f ca="1">IFERROR(__xludf.DUMMYFUNCTION("IMPORTRANGE(""https://docs.google.com/spreadsheets/d/1MeEWN-I1oV_STSDYn1IFDPWt_1FKiwhDph83XaGc0o0/edit?usp=sharing"",""งบพรบ!T16"")"),348178)</f>
        <v>348178</v>
      </c>
      <c r="O46" s="93">
        <f t="shared" ca="1" si="26"/>
        <v>40.983814960861629</v>
      </c>
      <c r="P46" s="93">
        <f t="shared" ca="1" si="27"/>
        <v>40.852536725019945</v>
      </c>
    </row>
    <row r="47" spans="1:1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</row>
    <row r="48" spans="1:1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</row>
    <row r="49" spans="1:1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IFERROR(__xludf.DUMMYFUNCTION("IMPORTRANGE(""https://docs.google.com/spreadsheets/d/1MeEWN-I1oV_STSDYn1IFDPWt_1FKiwhDph83XaGc0o0/edit?usp=sharing"",""งบพรบ!P16"")"),0)</f>
        <v>0</v>
      </c>
      <c r="M49" s="52">
        <f ca="1">IFERROR(__xludf.DUMMYFUNCTION("IMPORTRANGE(""https://docs.google.com/spreadsheets/d/1MeEWN-I1oV_STSDYn1IFDPWt_1FKiwhDph83XaGc0o0/edit?usp=sharing"",""งบพรบ!S16"")"),0)</f>
        <v>0</v>
      </c>
      <c r="N49" s="52">
        <f ca="1">IFERROR(__xludf.DUMMYFUNCTION("IMPORTRANGE(""https://docs.google.com/spreadsheets/d/1MeEWN-I1oV_STSDYn1IFDPWt_1FKiwhDph83XaGc0o0/edit?usp=sharing"",""งบพรบ!U16"")"),0)</f>
        <v>0</v>
      </c>
      <c r="O49" s="52">
        <f t="shared" ca="1" si="26"/>
        <v>0</v>
      </c>
      <c r="P49" s="52">
        <f t="shared" ca="1" si="27"/>
        <v>0</v>
      </c>
    </row>
    <row r="50" spans="1:1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1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1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1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903400</v>
      </c>
      <c r="M53" s="116">
        <f t="shared" ca="1" si="31"/>
        <v>722350</v>
      </c>
      <c r="N53" s="116">
        <f t="shared" ca="1" si="31"/>
        <v>557618.12</v>
      </c>
      <c r="O53" s="116">
        <f t="shared" ref="O53:O61" ca="1" si="32">IF(L53&gt;0,N53*100/L53,0)</f>
        <v>61.724387868054016</v>
      </c>
      <c r="P53" s="116">
        <f t="shared" ref="P53:P61" ca="1" si="33">IF(M53&gt;0,N53*100/M53,0)</f>
        <v>77.195005191389214</v>
      </c>
    </row>
    <row r="54" spans="1:1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</row>
    <row r="55" spans="1:1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903400</v>
      </c>
      <c r="M55" s="123">
        <f t="shared" ca="1" si="34"/>
        <v>722350</v>
      </c>
      <c r="N55" s="123">
        <f t="shared" ca="1" si="34"/>
        <v>557618.12</v>
      </c>
      <c r="O55" s="123">
        <f t="shared" ca="1" si="32"/>
        <v>61.724387868054016</v>
      </c>
      <c r="P55" s="123">
        <f t="shared" ca="1" si="33"/>
        <v>77.195005191389214</v>
      </c>
    </row>
    <row r="56" spans="1:1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711400</v>
      </c>
      <c r="M56" s="466">
        <f t="shared" ca="1" si="35"/>
        <v>533550</v>
      </c>
      <c r="N56" s="466">
        <f t="shared" ca="1" si="35"/>
        <v>368818.12</v>
      </c>
      <c r="O56" s="466">
        <f t="shared" ca="1" si="32"/>
        <v>51.84398650548215</v>
      </c>
      <c r="P56" s="466">
        <f t="shared" ca="1" si="33"/>
        <v>69.125315340642871</v>
      </c>
    </row>
    <row r="57" spans="1:1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</row>
    <row r="58" spans="1:1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IFERROR(__xludf.DUMMYFUNCTION("IMPORTRANGE(""https://docs.google.com/spreadsheets/d/1MeEWN-I1oV_STSDYn1IFDPWt_1FKiwhDph83XaGc0o0/edit?usp=sharing"",""งบพรบ!W16"")"),711400)</f>
        <v>711400</v>
      </c>
      <c r="M58" s="93">
        <f ca="1">IFERROR(__xludf.DUMMYFUNCTION("IMPORTRANGE(""https://docs.google.com/spreadsheets/d/1MeEWN-I1oV_STSDYn1IFDPWt_1FKiwhDph83XaGc0o0/edit?usp=sharing"",""งบพรบ!AB16"")"),533550)</f>
        <v>533550</v>
      </c>
      <c r="N58" s="93">
        <f ca="1">IFERROR(__xludf.DUMMYFUNCTION("IMPORTRANGE(""https://docs.google.com/spreadsheets/d/1MeEWN-I1oV_STSDYn1IFDPWt_1FKiwhDph83XaGc0o0/edit?usp=sharing"",""งบพรบ!AD16"")"),368818.12)</f>
        <v>368818.12</v>
      </c>
      <c r="O58" s="93">
        <f t="shared" ca="1" si="32"/>
        <v>51.84398650548215</v>
      </c>
      <c r="P58" s="93">
        <f t="shared" ca="1" si="33"/>
        <v>69.125315340642871</v>
      </c>
    </row>
    <row r="59" spans="1:1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192000</v>
      </c>
      <c r="M59" s="466">
        <f t="shared" ca="1" si="36"/>
        <v>188800</v>
      </c>
      <c r="N59" s="466">
        <f t="shared" ca="1" si="36"/>
        <v>188800</v>
      </c>
      <c r="O59" s="466">
        <f t="shared" ca="1" si="32"/>
        <v>98.333333333333329</v>
      </c>
      <c r="P59" s="466">
        <f t="shared" ca="1" si="33"/>
        <v>100</v>
      </c>
    </row>
    <row r="60" spans="1:1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</row>
    <row r="61" spans="1:1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IFERROR(__xludf.DUMMYFUNCTION("IMPORTRANGE(""https://docs.google.com/spreadsheets/d/1MeEWN-I1oV_STSDYn1IFDPWt_1FKiwhDph83XaGc0o0/edit?usp=sharing"",""งบพรบ!Z16"")"),192000)</f>
        <v>192000</v>
      </c>
      <c r="M61" s="52">
        <f ca="1">IFERROR(__xludf.DUMMYFUNCTION("IMPORTRANGE(""https://docs.google.com/spreadsheets/d/1MeEWN-I1oV_STSDYn1IFDPWt_1FKiwhDph83XaGc0o0/edit?usp=sharing"",""งบพรบ!AC16"")"),188800)</f>
        <v>188800</v>
      </c>
      <c r="N61" s="52">
        <f ca="1">IFERROR(__xludf.DUMMYFUNCTION("IMPORTRANGE(""https://docs.google.com/spreadsheets/d/1MeEWN-I1oV_STSDYn1IFDPWt_1FKiwhDph83XaGc0o0/edit?usp=sharing"",""งบพรบ!AE16"")"),188800)</f>
        <v>188800</v>
      </c>
      <c r="O61" s="52">
        <f t="shared" ca="1" si="32"/>
        <v>98.333333333333329</v>
      </c>
      <c r="P61" s="52">
        <f t="shared" ca="1" si="33"/>
        <v>100</v>
      </c>
    </row>
    <row r="62" spans="1:1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1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1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1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16" ht="19.5" hidden="1">
      <c r="A66" s="147"/>
      <c r="B66" s="148"/>
      <c r="C66" s="149" t="s">
        <v>16</v>
      </c>
      <c r="D66" s="84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</row>
    <row r="67" spans="1:1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</row>
    <row r="68" spans="1:1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</row>
    <row r="69" spans="1:16" ht="18.75" hidden="1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</row>
    <row r="70" spans="1:1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</row>
    <row r="71" spans="1:1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IFERROR(__xludf.DUMMYFUNCTION("IMPORTRANGE(""https://docs.google.com/spreadsheets/d/1MeEWN-I1oV_STSDYn1IFDPWt_1FKiwhDph83XaGc0o0/edit?usp=sharing"",""งบพรบ!AG16"")"),0)</f>
        <v>0</v>
      </c>
      <c r="M71" s="93">
        <f ca="1">IFERROR(__xludf.DUMMYFUNCTION("IMPORTRANGE(""https://docs.google.com/spreadsheets/d/1MeEWN-I1oV_STSDYn1IFDPWt_1FKiwhDph83XaGc0o0/edit?usp=sharing"",""งบพรบ!AL16"")"),0)</f>
        <v>0</v>
      </c>
      <c r="N71" s="93">
        <f ca="1">IFERROR(__xludf.DUMMYFUNCTION("IMPORTRANGE(""https://docs.google.com/spreadsheets/d/1MeEWN-I1oV_STSDYn1IFDPWt_1FKiwhDph83XaGc0o0/edit?usp=sharing"",""งบพรบ!AN16"")"),0)</f>
        <v>0</v>
      </c>
      <c r="O71" s="93">
        <f t="shared" ca="1" si="40"/>
        <v>0</v>
      </c>
      <c r="P71" s="93">
        <f t="shared" ca="1" si="41"/>
        <v>0</v>
      </c>
    </row>
    <row r="72" spans="1:1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</row>
    <row r="73" spans="1:1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</row>
    <row r="74" spans="1:1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IFERROR(__xludf.DUMMYFUNCTION("IMPORTRANGE(""https://docs.google.com/spreadsheets/d/1MeEWN-I1oV_STSDYn1IFDPWt_1FKiwhDph83XaGc0o0/edit?usp=sharing"",""งบพรบ!AJ16"")"),0)</f>
        <v>0</v>
      </c>
      <c r="M74" s="93">
        <f ca="1">IFERROR(__xludf.DUMMYFUNCTION("IMPORTRANGE(""https://docs.google.com/spreadsheets/d/1MeEWN-I1oV_STSDYn1IFDPWt_1FKiwhDph83XaGc0o0/edit?usp=sharing"",""งบพรบ!AM16"")"),0)</f>
        <v>0</v>
      </c>
      <c r="N74" s="93">
        <f ca="1">IFERROR(__xludf.DUMMYFUNCTION("IMPORTRANGE(""https://docs.google.com/spreadsheets/d/1MeEWN-I1oV_STSDYn1IFDPWt_1FKiwhDph83XaGc0o0/edit?usp=sharing"",""งบพรบ!AO16"")"),0)</f>
        <v>0</v>
      </c>
      <c r="O74" s="93">
        <f t="shared" ca="1" si="40"/>
        <v>0</v>
      </c>
      <c r="P74" s="93">
        <f t="shared" ca="1" si="41"/>
        <v>0</v>
      </c>
    </row>
    <row r="75" spans="1:16" ht="19.5" hidden="1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1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1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16" ht="18.75" hidden="1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IFERROR(__xludf.DUMMYFUNCTION("IMPORTRANGE(""https://docs.google.com/spreadsheets/d/1QqKyyYR6Q21VydFLVH3TRQUabQu_ym0Zz7PgGX0-kHA/edit?usp=sharing"",""แผน!H16"")"),0)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16" ht="18.75" hidden="1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IFERROR(__xludf.DUMMYFUNCTION("IMPORTRANGE(""https://docs.google.com/spreadsheets/d/1QqKyyYR6Q21VydFLVH3TRQUabQu_ym0Zz7PgGX0-kHA/edit?usp=sharing"",""แผน!I16"")"),0)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16" ht="18.75" hidden="1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IFERROR(__xludf.DUMMYFUNCTION("IMPORTRANGE(""https://docs.google.com/spreadsheets/d/1QqKyyYR6Q21VydFLVH3TRQUabQu_ym0Zz7PgGX0-kHA/edit?usp=sharing"",""แผน!F16"")"),0)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16" ht="18.75" hidden="1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IFERROR(__xludf.DUMMYFUNCTION("IMPORTRANGE(""https://docs.google.com/spreadsheets/d/1QqKyyYR6Q21VydFLVH3TRQUabQu_ym0Zz7PgGX0-kHA/edit?usp=sharing"",""แผน!G16"")"),0)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16" ht="18.75" hidden="1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IFERROR(__xludf.DUMMYFUNCTION("IMPORTRANGE(""https://docs.google.com/spreadsheets/d/1QqKyyYR6Q21VydFLVH3TRQUabQu_ym0Zz7PgGX0-kHA/edit?usp=sharing"",""แผน!D16"")"),0)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16" ht="18.75" hidden="1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IFERROR(__xludf.DUMMYFUNCTION("IMPORTRANGE(""https://docs.google.com/spreadsheets/d/1QqKyyYR6Q21VydFLVH3TRQUabQu_ym0Zz7PgGX0-kHA/edit?usp=sharing"",""แผน!E16"")"),0)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16" ht="18.75" hidden="1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IFERROR(__xludf.DUMMYFUNCTION("IMPORTRANGE(""https://docs.google.com/spreadsheets/d/1QqKyyYR6Q21VydFLVH3TRQUabQu_ym0Zz7PgGX0-kHA/edit?usp=sharing"",""แผน!J16"")"),0)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1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1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1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16" ht="19.5">
      <c r="A88" s="147"/>
      <c r="B88" s="148"/>
      <c r="C88" s="149" t="s">
        <v>16</v>
      </c>
      <c r="D88" s="84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51590</v>
      </c>
      <c r="N88" s="155">
        <f t="shared" ca="1" si="49"/>
        <v>42000</v>
      </c>
      <c r="O88" s="155">
        <f t="shared" ref="O88:O96" ca="1" si="50">IF(L88&gt;0,N88*100/L88,0)</f>
        <v>48.814504881450489</v>
      </c>
      <c r="P88" s="155">
        <f t="shared" ref="P88:P96" ca="1" si="51">IF(M88&gt;0,N88*100/M88,0)</f>
        <v>81.411126187245586</v>
      </c>
    </row>
    <row r="89" spans="1:1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</row>
    <row r="90" spans="1:1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86040</v>
      </c>
      <c r="M90" s="93">
        <f t="shared" ca="1" si="52"/>
        <v>51590</v>
      </c>
      <c r="N90" s="93">
        <f t="shared" ca="1" si="52"/>
        <v>42000</v>
      </c>
      <c r="O90" s="93">
        <f t="shared" ca="1" si="50"/>
        <v>48.814504881450489</v>
      </c>
      <c r="P90" s="93">
        <f t="shared" ca="1" si="51"/>
        <v>81.411126187245586</v>
      </c>
    </row>
    <row r="91" spans="1:1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51590</v>
      </c>
      <c r="N91" s="466">
        <f t="shared" ca="1" si="53"/>
        <v>42000</v>
      </c>
      <c r="O91" s="466">
        <f t="shared" ca="1" si="50"/>
        <v>48.814504881450489</v>
      </c>
      <c r="P91" s="466">
        <f t="shared" ca="1" si="51"/>
        <v>81.411126187245586</v>
      </c>
    </row>
    <row r="92" spans="1:1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</row>
    <row r="93" spans="1:1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IFERROR(__xludf.DUMMYFUNCTION("IMPORTRANGE(""https://docs.google.com/spreadsheets/d/1MeEWN-I1oV_STSDYn1IFDPWt_1FKiwhDph83XaGc0o0/edit?usp=sharing"",""งบพรบ!AQ16"")"),86040)</f>
        <v>86040</v>
      </c>
      <c r="M93" s="93">
        <f ca="1">IFERROR(__xludf.DUMMYFUNCTION("IMPORTRANGE(""https://docs.google.com/spreadsheets/d/1MeEWN-I1oV_STSDYn1IFDPWt_1FKiwhDph83XaGc0o0/edit?usp=sharing"",""งบพรบ!AV16"")"),51590)</f>
        <v>51590</v>
      </c>
      <c r="N93" s="93">
        <f ca="1">IFERROR(__xludf.DUMMYFUNCTION("IMPORTRANGE(""https://docs.google.com/spreadsheets/d/1MeEWN-I1oV_STSDYn1IFDPWt_1FKiwhDph83XaGc0o0/edit?usp=sharing"",""งบพรบ!AX16"")"),42000)</f>
        <v>42000</v>
      </c>
      <c r="O93" s="93">
        <f t="shared" ca="1" si="50"/>
        <v>48.814504881450489</v>
      </c>
      <c r="P93" s="93">
        <f t="shared" ca="1" si="51"/>
        <v>81.411126187245586</v>
      </c>
    </row>
    <row r="94" spans="1:1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</row>
    <row r="95" spans="1:1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</row>
    <row r="96" spans="1:1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IFERROR(__xludf.DUMMYFUNCTION("IMPORTRANGE(""https://docs.google.com/spreadsheets/d/1MeEWN-I1oV_STSDYn1IFDPWt_1FKiwhDph83XaGc0o0/edit?usp=sharing"",""งบพรบ!AT16"")"),0)</f>
        <v>0</v>
      </c>
      <c r="M96" s="93">
        <f ca="1">IFERROR(__xludf.DUMMYFUNCTION("IMPORTRANGE(""https://docs.google.com/spreadsheets/d/1MeEWN-I1oV_STSDYn1IFDPWt_1FKiwhDph83XaGc0o0/edit?usp=sharing"",""งบพรบ!AW16"")"),0)</f>
        <v>0</v>
      </c>
      <c r="N96" s="93">
        <f ca="1">IFERROR(__xludf.DUMMYFUNCTION("IMPORTRANGE(""https://docs.google.com/spreadsheets/d/1MeEWN-I1oV_STSDYn1IFDPWt_1FKiwhDph83XaGc0o0/edit?usp=sharing"",""งบพรบ!AY16"")"),0)</f>
        <v>0</v>
      </c>
      <c r="O96" s="93">
        <f t="shared" ca="1" si="50"/>
        <v>0</v>
      </c>
      <c r="P96" s="93">
        <f t="shared" ca="1" si="51"/>
        <v>0</v>
      </c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IFERROR(__xludf.DUMMYFUNCTION("IMPORTRANGE(""https://docs.google.com/spreadsheets/d/1QqKyyYR6Q21VydFLVH3TRQUabQu_ym0Zz7PgGX0-kHA/edit?usp=sharing"",""แผน!K16"")"),30)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IFERROR(__xludf.DUMMYFUNCTION("IMPORTRANGE(""https://docs.google.com/spreadsheets/d/1QqKyyYR6Q21VydFLVH3TRQUabQu_ym0Zz7PgGX0-kHA/edit?usp=sharing"",""แผน!L16"")"),10)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IFERROR(__xludf.DUMMYFUNCTION("IMPORTRANGE(""https://docs.google.com/spreadsheets/d/1QqKyyYR6Q21VydFLVH3TRQUabQu_ym0Zz7PgGX0-kHA/edit?usp=sharing"",""แผน!M16"")"),2)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IFERROR(__xludf.DUMMYFUNCTION("IMPORTRANGE(""https://docs.google.com/spreadsheets/d/1QqKyyYR6Q21VydFLVH3TRQUabQu_ym0Zz7PgGX0-kHA/edit?usp=sharing"",""แผน!N16"")"),30)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IFERROR(__xludf.DUMMYFUNCTION("IMPORTRANGE(""https://docs.google.com/spreadsheets/d/1QqKyyYR6Q21VydFLVH3TRQUabQu_ym0Zz7PgGX0-kHA/edit?usp=sharing"",""แผน!O16"")"),10)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IFERROR(__xludf.DUMMYFUNCTION("IMPORTRANGE(""https://docs.google.com/spreadsheets/d/1QqKyyYR6Q21VydFLVH3TRQUabQu_ym0Zz7PgGX0-kHA/edit?usp=sharing"",""แผน!O16"")"),10)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IFERROR(__xludf.DUMMYFUNCTION("IMPORTRANGE(""https://docs.google.com/spreadsheets/d/1QqKyyYR6Q21VydFLVH3TRQUabQu_ym0Zz7PgGX0-kHA/edit?usp=sharing"",""แผน!P16"")"),1)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IFERROR(__xludf.DUMMYFUNCTION("IMPORTRANGE(""https://docs.google.com/spreadsheets/d/1QqKyyYR6Q21VydFLVH3TRQUabQu_ym0Zz7PgGX0-kHA/edit?usp=sharing"",""แผน!P16"")"),1)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IFERROR(__xludf.DUMMYFUNCTION("IMPORTRANGE(""https://docs.google.com/spreadsheets/d/1QqKyyYR6Q21VydFLVH3TRQUabQu_ym0Zz7PgGX0-kHA/edit?usp=sharing"",""แผน!Q16"")"),1)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IFERROR(__xludf.DUMMYFUNCTION("IMPORTRANGE(""https://docs.google.com/spreadsheets/d/1QqKyyYR6Q21VydFLVH3TRQUabQu_ym0Zz7PgGX0-kHA/edit?usp=sharing"",""แผน!Q16"")"),1)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IFERROR(__xludf.DUMMYFUNCTION("IMPORTRANGE(""https://docs.google.com/spreadsheets/d/1QqKyyYR6Q21VydFLVH3TRQUabQu_ym0Zz7PgGX0-kHA/edit?usp=sharing"",""แผน!R16"")"),10)</f>
        <v>10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1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IFERROR(__xludf.DUMMYFUNCTION("IMPORTRANGE(""https://docs.google.com/spreadsheets/d/1QqKyyYR6Q21VydFLVH3TRQUabQu_ym0Zz7PgGX0-kHA/edit?usp=sharing"",""แผน!R16"")"),10)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1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IFERROR(__xludf.DUMMYFUNCTION("IMPORTRANGE(""https://docs.google.com/spreadsheets/d/1QqKyyYR6Q21VydFLVH3TRQUabQu_ym0Zz7PgGX0-kHA/edit?usp=sharing"",""แผน!R16"")"),10)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1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IFERROR(__xludf.DUMMYFUNCTION("IMPORTRANGE(""https://docs.google.com/spreadsheets/d/1QqKyyYR6Q21VydFLVH3TRQUabQu_ym0Zz7PgGX0-kHA/edit?usp=sharing"",""แผน!S16"")"),1)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1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IFERROR(__xludf.DUMMYFUNCTION("IMPORTRANGE(""https://docs.google.com/spreadsheets/d/1QqKyyYR6Q21VydFLVH3TRQUabQu_ym0Zz7PgGX0-kHA/edit?usp=sharing"",""แผน!T16"")"),1)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1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1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16" ht="19.5" hidden="1">
      <c r="A119" s="147"/>
      <c r="B119" s="148"/>
      <c r="C119" s="149" t="s">
        <v>16</v>
      </c>
      <c r="D119" s="84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</row>
    <row r="120" spans="1:1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</row>
    <row r="121" spans="1:1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</row>
    <row r="122" spans="1:16" ht="18.75" hidden="1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</row>
    <row r="123" spans="1:1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</row>
    <row r="124" spans="1:1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IFERROR(__xludf.DUMMYFUNCTION("IMPORTRANGE(""https://docs.google.com/spreadsheets/d/1MeEWN-I1oV_STSDYn1IFDPWt_1FKiwhDph83XaGc0o0/edit?usp=sharing"",""งบพรบ!BA16"")"),0)</f>
        <v>0</v>
      </c>
      <c r="M124" s="93">
        <f ca="1">IFERROR(__xludf.DUMMYFUNCTION("IMPORTRANGE(""https://docs.google.com/spreadsheets/d/1MeEWN-I1oV_STSDYn1IFDPWt_1FKiwhDph83XaGc0o0/edit?usp=sharing"",""งบพรบ!BF16"")"),0)</f>
        <v>0</v>
      </c>
      <c r="N124" s="93">
        <f ca="1">IFERROR(__xludf.DUMMYFUNCTION("IMPORTRANGE(""https://docs.google.com/spreadsheets/d/1MeEWN-I1oV_STSDYn1IFDPWt_1FKiwhDph83XaGc0o0/edit?usp=sharing"",""งบพรบ!BH16"")"),0)</f>
        <v>0</v>
      </c>
      <c r="O124" s="93">
        <f t="shared" ca="1" si="61"/>
        <v>0</v>
      </c>
      <c r="P124" s="93">
        <f t="shared" ca="1" si="62"/>
        <v>0</v>
      </c>
    </row>
    <row r="125" spans="1:1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</row>
    <row r="126" spans="1:1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</row>
    <row r="127" spans="1:1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IFERROR(__xludf.DUMMYFUNCTION("IMPORTRANGE(""https://docs.google.com/spreadsheets/d/1MeEWN-I1oV_STSDYn1IFDPWt_1FKiwhDph83XaGc0o0/edit?usp=sharing"",""งบพรบ!BD16"")"),0)</f>
        <v>0</v>
      </c>
      <c r="M127" s="93">
        <f ca="1">IFERROR(__xludf.DUMMYFUNCTION("IMPORTRANGE(""https://docs.google.com/spreadsheets/d/1MeEWN-I1oV_STSDYn1IFDPWt_1FKiwhDph83XaGc0o0/edit?usp=sharing"",""งบพรบ!BG16"")"),0)</f>
        <v>0</v>
      </c>
      <c r="N127" s="93">
        <f ca="1">IFERROR(__xludf.DUMMYFUNCTION("IMPORTRANGE(""https://docs.google.com/spreadsheets/d/1MeEWN-I1oV_STSDYn1IFDPWt_1FKiwhDph83XaGc0o0/edit?usp=sharing"",""งบพรบ!BI16"")"),0)</f>
        <v>0</v>
      </c>
      <c r="O127" s="93">
        <f t="shared" ca="1" si="61"/>
        <v>0</v>
      </c>
      <c r="P127" s="93">
        <f t="shared" ca="1" si="62"/>
        <v>0</v>
      </c>
    </row>
    <row r="128" spans="1:1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1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1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1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16" ht="19.5" hidden="1">
      <c r="A132" s="147"/>
      <c r="B132" s="148"/>
      <c r="C132" s="149" t="s">
        <v>16</v>
      </c>
      <c r="D132" s="84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</row>
    <row r="133" spans="1:1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</row>
    <row r="134" spans="1:1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</row>
    <row r="135" spans="1:16" ht="18.75" hidden="1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</row>
    <row r="136" spans="1:1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</row>
    <row r="137" spans="1:1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IFERROR(__xludf.DUMMYFUNCTION("IMPORTRANGE(""https://docs.google.com/spreadsheets/d/1MeEWN-I1oV_STSDYn1IFDPWt_1FKiwhDph83XaGc0o0/edit?usp=sharing"",""งบพรบ!BK16"")"),0)</f>
        <v>0</v>
      </c>
      <c r="M137" s="93">
        <f ca="1">IFERROR(__xludf.DUMMYFUNCTION("IMPORTRANGE(""https://docs.google.com/spreadsheets/d/1MeEWN-I1oV_STSDYn1IFDPWt_1FKiwhDph83XaGc0o0/edit?usp=sharing"",""งบพรบ!BP16"")"),0)</f>
        <v>0</v>
      </c>
      <c r="N137" s="93">
        <f ca="1">IFERROR(__xludf.DUMMYFUNCTION("IMPORTRANGE(""https://docs.google.com/spreadsheets/d/1MeEWN-I1oV_STSDYn1IFDPWt_1FKiwhDph83XaGc0o0/edit?usp=sharing"",""งบพรบ!BR16"")"),0)</f>
        <v>0</v>
      </c>
      <c r="O137" s="93">
        <f t="shared" ca="1" si="70"/>
        <v>0</v>
      </c>
      <c r="P137" s="93">
        <f t="shared" ca="1" si="71"/>
        <v>0</v>
      </c>
    </row>
    <row r="138" spans="1:1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</row>
    <row r="139" spans="1:1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</row>
    <row r="140" spans="1:1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IFERROR(__xludf.DUMMYFUNCTION("IMPORTRANGE(""https://docs.google.com/spreadsheets/d/1MeEWN-I1oV_STSDYn1IFDPWt_1FKiwhDph83XaGc0o0/edit?usp=sharing"",""งบพรบ!BN16"")"),0)</f>
        <v>0</v>
      </c>
      <c r="M140" s="93">
        <f ca="1">IFERROR(__xludf.DUMMYFUNCTION("IMPORTRANGE(""https://docs.google.com/spreadsheets/d/1MeEWN-I1oV_STSDYn1IFDPWt_1FKiwhDph83XaGc0o0/edit?usp=sharing"",""งบพรบ!BQ16"")"),0)</f>
        <v>0</v>
      </c>
      <c r="N140" s="93">
        <f ca="1">IFERROR(__xludf.DUMMYFUNCTION("IMPORTRANGE(""https://docs.google.com/spreadsheets/d/1MeEWN-I1oV_STSDYn1IFDPWt_1FKiwhDph83XaGc0o0/edit?usp=sharing"",""งบพรบ!BS16"")"),0)</f>
        <v>0</v>
      </c>
      <c r="O140" s="93">
        <f t="shared" ca="1" si="70"/>
        <v>0</v>
      </c>
      <c r="P140" s="93">
        <f t="shared" ca="1" si="71"/>
        <v>0</v>
      </c>
    </row>
    <row r="141" spans="1:16" ht="19.5" hidden="1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1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1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1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IFERROR(__xludf.DUMMYFUNCTION("IMPORTRANGE(""https://docs.google.com/spreadsheets/d/1QqKyyYR6Q21VydFLVH3TRQUabQu_ym0Zz7PgGX0-kHA/edit?usp=sharing"",""แผน!U16"")"),0)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1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IFERROR(__xludf.DUMMYFUNCTION("IMPORTRANGE(""https://docs.google.com/spreadsheets/d/1QqKyyYR6Q21VydFLVH3TRQUabQu_ym0Zz7PgGX0-kHA/edit?usp=sharing"",""แผน!V16"")"),0)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1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IFERROR(__xludf.DUMMYFUNCTION("IMPORTRANGE(""https://docs.google.com/spreadsheets/d/1QqKyyYR6Q21VydFLVH3TRQUabQu_ym0Zz7PgGX0-kHA/edit?usp=sharing"",""แผน!W16"")"),0)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1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16" ht="19.5" hidden="1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</row>
    <row r="149" spans="1:16" ht="19.5" hidden="1">
      <c r="A149" s="147"/>
      <c r="B149" s="148"/>
      <c r="C149" s="149" t="s">
        <v>16</v>
      </c>
      <c r="D149" s="84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2000</v>
      </c>
      <c r="N149" s="155">
        <f t="shared" ca="1" si="77"/>
        <v>2000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</row>
    <row r="150" spans="1:1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</row>
    <row r="151" spans="1:1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0</v>
      </c>
      <c r="M151" s="93">
        <f t="shared" ca="1" si="80"/>
        <v>2000</v>
      </c>
      <c r="N151" s="93">
        <f t="shared" ca="1" si="80"/>
        <v>2000</v>
      </c>
      <c r="O151" s="93">
        <f t="shared" ca="1" si="78"/>
        <v>0</v>
      </c>
      <c r="P151" s="93">
        <f t="shared" ca="1" si="79"/>
        <v>100</v>
      </c>
    </row>
    <row r="152" spans="1:16" ht="18.75" hidden="1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2000</v>
      </c>
      <c r="N152" s="466">
        <f t="shared" ca="1" si="81"/>
        <v>2000</v>
      </c>
      <c r="O152" s="466">
        <f t="shared" ca="1" si="78"/>
        <v>0</v>
      </c>
      <c r="P152" s="466">
        <f t="shared" ca="1" si="79"/>
        <v>100</v>
      </c>
    </row>
    <row r="153" spans="1:1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</row>
    <row r="154" spans="1:1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IFERROR(__xludf.DUMMYFUNCTION("IMPORTRANGE(""https://docs.google.com/spreadsheets/d/1MeEWN-I1oV_STSDYn1IFDPWt_1FKiwhDph83XaGc0o0/edit?usp=sharing"",""งบพรบ!BU16"")"),0)</f>
        <v>0</v>
      </c>
      <c r="M154" s="93">
        <f ca="1">IFERROR(__xludf.DUMMYFUNCTION("IMPORTRANGE(""https://docs.google.com/spreadsheets/d/1MeEWN-I1oV_STSDYn1IFDPWt_1FKiwhDph83XaGc0o0/edit?usp=sharing"",""งบพรบ!BZ16"")"),2000)</f>
        <v>2000</v>
      </c>
      <c r="N154" s="93">
        <f ca="1">IFERROR(__xludf.DUMMYFUNCTION("IMPORTRANGE(""https://docs.google.com/spreadsheets/d/1MeEWN-I1oV_STSDYn1IFDPWt_1FKiwhDph83XaGc0o0/edit?usp=sharing"",""งบพรบ!CB16"")"),2000)</f>
        <v>2000</v>
      </c>
      <c r="O154" s="93">
        <f t="shared" ca="1" si="78"/>
        <v>0</v>
      </c>
      <c r="P154" s="93">
        <f t="shared" ca="1" si="79"/>
        <v>100</v>
      </c>
    </row>
    <row r="155" spans="1:1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</row>
    <row r="156" spans="1:1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</row>
    <row r="157" spans="1:1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IFERROR(__xludf.DUMMYFUNCTION("IMPORTRANGE(""https://docs.google.com/spreadsheets/d/1MeEWN-I1oV_STSDYn1IFDPWt_1FKiwhDph83XaGc0o0/edit?usp=sharing"",""งบพรบ!BX16"")"),0)</f>
        <v>0</v>
      </c>
      <c r="M157" s="93">
        <f ca="1">IFERROR(__xludf.DUMMYFUNCTION("IMPORTRANGE(""https://docs.google.com/spreadsheets/d/1MeEWN-I1oV_STSDYn1IFDPWt_1FKiwhDph83XaGc0o0/edit?usp=sharing"",""งบพรบ!CA16"")"),0)</f>
        <v>0</v>
      </c>
      <c r="N157" s="93">
        <f ca="1">IFERROR(__xludf.DUMMYFUNCTION("IMPORTRANGE(""https://docs.google.com/spreadsheets/d/1MeEWN-I1oV_STSDYn1IFDPWt_1FKiwhDph83XaGc0o0/edit?usp=sharing"",""งบพรบ!CC16"")"),0)</f>
        <v>0</v>
      </c>
      <c r="O157" s="93">
        <f t="shared" ca="1" si="78"/>
        <v>0</v>
      </c>
      <c r="P157" s="93">
        <f t="shared" ca="1" si="79"/>
        <v>0</v>
      </c>
    </row>
    <row r="158" spans="1:16" ht="19.5" hidden="1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1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IFERROR(__xludf.DUMMYFUNCTION("IMPORTRANGE(""https://docs.google.com/spreadsheets/d/1QqKyyYR6Q21VydFLVH3TRQUabQu_ym0Zz7PgGX0-kHA/edit?usp=sharing"",""แผน!X16"")"),0)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1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</row>
    <row r="161" spans="1:1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</row>
    <row r="162" spans="1:1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1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1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16" ht="19.5">
      <c r="A165" s="147"/>
      <c r="B165" s="148"/>
      <c r="C165" s="149" t="s">
        <v>16</v>
      </c>
      <c r="D165" s="84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38445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57.367668097281829</v>
      </c>
    </row>
    <row r="166" spans="1:1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</row>
    <row r="167" spans="1:1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38445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57.367668097281829</v>
      </c>
    </row>
    <row r="168" spans="1:1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38445</v>
      </c>
      <c r="N168" s="466">
        <f t="shared" ca="1" si="88"/>
        <v>22055</v>
      </c>
      <c r="O168" s="466">
        <f t="shared" ca="1" si="85"/>
        <v>100</v>
      </c>
      <c r="P168" s="466">
        <f t="shared" ca="1" si="86"/>
        <v>57.367668097281829</v>
      </c>
    </row>
    <row r="169" spans="1:1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</row>
    <row r="170" spans="1:1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IFERROR(__xludf.DUMMYFUNCTION("IMPORTRANGE(""https://docs.google.com/spreadsheets/d/1MeEWN-I1oV_STSDYn1IFDPWt_1FKiwhDph83XaGc0o0/edit?usp=sharing"",""งบพรบ!CE16"")"),22055)</f>
        <v>22055</v>
      </c>
      <c r="M170" s="93">
        <f ca="1">IFERROR(__xludf.DUMMYFUNCTION("IMPORTRANGE(""https://docs.google.com/spreadsheets/d/1MeEWN-I1oV_STSDYn1IFDPWt_1FKiwhDph83XaGc0o0/edit?usp=sharing"",""งบพรบ!CJ16"")"),38445)</f>
        <v>38445</v>
      </c>
      <c r="N170" s="93">
        <f ca="1">IFERROR(__xludf.DUMMYFUNCTION("IMPORTRANGE(""https://docs.google.com/spreadsheets/d/1MeEWN-I1oV_STSDYn1IFDPWt_1FKiwhDph83XaGc0o0/edit?usp=sharing"",""งบพรบ!CL16"")"),22055)</f>
        <v>22055</v>
      </c>
      <c r="O170" s="93">
        <f t="shared" ca="1" si="85"/>
        <v>100</v>
      </c>
      <c r="P170" s="93">
        <f t="shared" ca="1" si="86"/>
        <v>57.367668097281829</v>
      </c>
    </row>
    <row r="171" spans="1:1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</row>
    <row r="172" spans="1:1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</row>
    <row r="173" spans="1:1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IFERROR(__xludf.DUMMYFUNCTION("IMPORTRANGE(""https://docs.google.com/spreadsheets/d/1MeEWN-I1oV_STSDYn1IFDPWt_1FKiwhDph83XaGc0o0/edit?usp=sharing"",""งบพรบ!CH16"")"),0)</f>
        <v>0</v>
      </c>
      <c r="M173" s="93">
        <f ca="1">IFERROR(__xludf.DUMMYFUNCTION("IMPORTRANGE(""https://docs.google.com/spreadsheets/d/1MeEWN-I1oV_STSDYn1IFDPWt_1FKiwhDph83XaGc0o0/edit?usp=sharing"",""งบพรบ!CK16"")"),0)</f>
        <v>0</v>
      </c>
      <c r="N173" s="93">
        <f ca="1">IFERROR(__xludf.DUMMYFUNCTION("IMPORTRANGE(""https://docs.google.com/spreadsheets/d/1MeEWN-I1oV_STSDYn1IFDPWt_1FKiwhDph83XaGc0o0/edit?usp=sharing"",""งบพรบ!CM16"")"),0)</f>
        <v>0</v>
      </c>
      <c r="O173" s="93">
        <f t="shared" ca="1" si="85"/>
        <v>0</v>
      </c>
      <c r="P173" s="93">
        <f t="shared" ca="1" si="86"/>
        <v>0</v>
      </c>
    </row>
    <row r="174" spans="1:1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1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1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IFERROR(__xludf.DUMMYFUNCTION("IMPORTRANGE(""https://docs.google.com/spreadsheets/d/1QqKyyYR6Q21VydFLVH3TRQUabQu_ym0Zz7PgGX0-kHA/edit?usp=sharing"",""แผน!Y16"")"),11)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1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1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1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1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100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16" ht="19.5">
      <c r="A181" s="147"/>
      <c r="B181" s="148"/>
      <c r="C181" s="149" t="s">
        <v>16</v>
      </c>
      <c r="D181" s="84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757600</v>
      </c>
      <c r="M181" s="155">
        <f t="shared" ca="1" si="92"/>
        <v>600525</v>
      </c>
      <c r="N181" s="155">
        <f t="shared" ca="1" si="92"/>
        <v>387830.21</v>
      </c>
      <c r="O181" s="155">
        <f t="shared" ref="O181:O189" ca="1" si="93">IF(L181&gt;0,N181*100/L181,0)</f>
        <v>51.191949577613514</v>
      </c>
      <c r="P181" s="155">
        <f t="shared" ref="P181:P189" ca="1" si="94">IF(M181&gt;0,N181*100/M181,0)</f>
        <v>64.581859206527625</v>
      </c>
    </row>
    <row r="182" spans="1:1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</row>
    <row r="183" spans="1:1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757600</v>
      </c>
      <c r="M183" s="93">
        <f t="shared" ca="1" si="95"/>
        <v>600525</v>
      </c>
      <c r="N183" s="93">
        <f t="shared" ca="1" si="95"/>
        <v>387830.21</v>
      </c>
      <c r="O183" s="93">
        <f t="shared" ca="1" si="93"/>
        <v>51.191949577613514</v>
      </c>
      <c r="P183" s="93">
        <f t="shared" ca="1" si="94"/>
        <v>64.581859206527625</v>
      </c>
    </row>
    <row r="184" spans="1:1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6">L185+L186</f>
        <v>757600</v>
      </c>
      <c r="M184" s="466">
        <f t="shared" ca="1" si="96"/>
        <v>600525</v>
      </c>
      <c r="N184" s="466">
        <f t="shared" ca="1" si="96"/>
        <v>387830.21</v>
      </c>
      <c r="O184" s="466">
        <f t="shared" ca="1" si="93"/>
        <v>51.191949577613514</v>
      </c>
      <c r="P184" s="466">
        <f t="shared" ca="1" si="94"/>
        <v>64.581859206527625</v>
      </c>
    </row>
    <row r="185" spans="1:1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</row>
    <row r="186" spans="1:1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IFERROR(__xludf.DUMMYFUNCTION("IMPORTRANGE(""https://docs.google.com/spreadsheets/d/1MeEWN-I1oV_STSDYn1IFDPWt_1FKiwhDph83XaGc0o0/edit?usp=sharing"",""งบพรบ!CO16"")"),757600)</f>
        <v>757600</v>
      </c>
      <c r="M186" s="93">
        <f ca="1">IFERROR(__xludf.DUMMYFUNCTION("IMPORTRANGE(""https://docs.google.com/spreadsheets/d/1MeEWN-I1oV_STSDYn1IFDPWt_1FKiwhDph83XaGc0o0/edit?usp=sharing"",""งบพรบ!CT16"")"),600525)</f>
        <v>600525</v>
      </c>
      <c r="N186" s="93">
        <f ca="1">IFERROR(__xludf.DUMMYFUNCTION("IMPORTRANGE(""https://docs.google.com/spreadsheets/d/1MeEWN-I1oV_STSDYn1IFDPWt_1FKiwhDph83XaGc0o0/edit?usp=sharing"",""งบพรบ!CV16"")"),387830.21)</f>
        <v>387830.21</v>
      </c>
      <c r="O186" s="93">
        <f t="shared" ca="1" si="93"/>
        <v>51.191949577613514</v>
      </c>
      <c r="P186" s="93">
        <f t="shared" ca="1" si="94"/>
        <v>64.581859206527625</v>
      </c>
    </row>
    <row r="187" spans="1:1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</row>
    <row r="188" spans="1:1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</row>
    <row r="189" spans="1:1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IFERROR(__xludf.DUMMYFUNCTION("IMPORTRANGE(""https://docs.google.com/spreadsheets/d/1MeEWN-I1oV_STSDYn1IFDPWt_1FKiwhDph83XaGc0o0/edit?usp=sharing"",""งบพรบ!CR16"")"),0)</f>
        <v>0</v>
      </c>
      <c r="M189" s="93">
        <f ca="1">IFERROR(__xludf.DUMMYFUNCTION("IMPORTRANGE(""https://docs.google.com/spreadsheets/d/1MeEWN-I1oV_STSDYn1IFDPWt_1FKiwhDph83XaGc0o0/edit?usp=sharing"",""งบพรบ!CU16"")"),0)</f>
        <v>0</v>
      </c>
      <c r="N189" s="93">
        <f ca="1">IFERROR(__xludf.DUMMYFUNCTION("IMPORTRANGE(""https://docs.google.com/spreadsheets/d/1MeEWN-I1oV_STSDYn1IFDPWt_1FKiwhDph83XaGc0o0/edit?usp=sharing"",""งบพรบ!CW16"")"),0)</f>
        <v>0</v>
      </c>
      <c r="O189" s="93">
        <f t="shared" ca="1" si="93"/>
        <v>0</v>
      </c>
      <c r="P189" s="93">
        <f t="shared" ca="1" si="94"/>
        <v>0</v>
      </c>
    </row>
    <row r="190" spans="1:1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1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IFERROR(__xludf.DUMMYFUNCTION("IMPORTRANGE(""https://docs.google.com/spreadsheets/d/1QqKyyYR6Q21VydFLVH3TRQUabQu_ym0Zz7PgGX0-kHA/edit?usp=sharing"",""แผน!Z16"")"),6000)</f>
        <v>6000</v>
      </c>
      <c r="M191" s="155"/>
      <c r="N191" s="276">
        <v>1000</v>
      </c>
      <c r="O191" s="155">
        <f ca="1">IF(L191&gt;0,N191*100/L191,0)</f>
        <v>16.666666666666668</v>
      </c>
      <c r="P191" s="155">
        <f>IF(M191&gt;0,N191*100/M191,0)</f>
        <v>0</v>
      </c>
    </row>
    <row r="192" spans="1:1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</row>
    <row r="193" spans="1:1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IFERROR(__xludf.DUMMYFUNCTION("IMPORTRANGE(""https://docs.google.com/spreadsheets/d/1QqKyyYR6Q21VydFLVH3TRQUabQu_ym0Zz7PgGX0-kHA/edit?usp=sharing"",""แผน!AC16"")"),4)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</row>
    <row r="194" spans="1:1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35</v>
      </c>
      <c r="K194" s="466"/>
      <c r="L194" s="466"/>
      <c r="M194" s="466"/>
      <c r="N194" s="466"/>
      <c r="O194" s="466"/>
      <c r="P194" s="466"/>
    </row>
    <row r="195" spans="1:1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35</v>
      </c>
      <c r="K195" s="466"/>
      <c r="L195" s="466"/>
      <c r="M195" s="466"/>
      <c r="N195" s="466"/>
      <c r="O195" s="466"/>
      <c r="P195" s="466"/>
    </row>
    <row r="196" spans="1:1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</row>
    <row r="197" spans="1:1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1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18000</v>
      </c>
      <c r="O198" s="155">
        <f ca="1">IF(L198&gt;0,N198*100/L198,0)</f>
        <v>69.230769230769226</v>
      </c>
      <c r="P198" s="155">
        <f>IF(M198&gt;0,N198*100/M198,0)</f>
        <v>0</v>
      </c>
    </row>
    <row r="199" spans="1:1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IFERROR(__xludf.DUMMYFUNCTION("IMPORTRANGE(""https://docs.google.com/spreadsheets/d/1QqKyyYR6Q21VydFLVH3TRQUabQu_ym0Zz7PgGX0-kHA/edit?usp=sharing"",""แผน!AE16"")"),2000)</f>
        <v>2000</v>
      </c>
      <c r="M199" s="466"/>
      <c r="N199" s="801">
        <v>2000</v>
      </c>
      <c r="O199" s="466"/>
      <c r="P199" s="466"/>
    </row>
    <row r="200" spans="1:1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IFERROR(__xludf.DUMMYFUNCTION("IMPORTRANGE(""https://docs.google.com/spreadsheets/d/1QqKyyYR6Q21VydFLVH3TRQUabQu_ym0Zz7PgGX0-kHA/edit?usp=sharing"",""แผน!AF16"")"),16000)</f>
        <v>16000</v>
      </c>
      <c r="M200" s="466"/>
      <c r="N200" s="801">
        <v>16000</v>
      </c>
      <c r="O200" s="466"/>
      <c r="P200" s="466"/>
    </row>
    <row r="201" spans="1:1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IFERROR(__xludf.DUMMYFUNCTION("IMPORTRANGE(""https://docs.google.com/spreadsheets/d/1QqKyyYR6Q21VydFLVH3TRQUabQu_ym0Zz7PgGX0-kHA/edit?usp=sharing"",""แผน!AG16"")"),8000)</f>
        <v>8000</v>
      </c>
      <c r="M201" s="466"/>
      <c r="N201" s="801">
        <v>0</v>
      </c>
      <c r="O201" s="466"/>
      <c r="P201" s="466"/>
    </row>
    <row r="202" spans="1:1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IFERROR(__xludf.DUMMYFUNCTION("IMPORTRANGE(""https://docs.google.com/spreadsheets/d/1QqKyyYR6Q21VydFLVH3TRQUabQu_ym0Zz7PgGX0-kHA/edit?usp=sharing"",""แผน!AH16"")"),0)</f>
        <v>0</v>
      </c>
      <c r="M202" s="466"/>
      <c r="N202" s="801">
        <v>0</v>
      </c>
      <c r="O202" s="466"/>
      <c r="P202" s="466"/>
    </row>
    <row r="203" spans="1:1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</row>
    <row r="204" spans="1:1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IFERROR(__xludf.DUMMYFUNCTION("IMPORTRANGE(""https://docs.google.com/spreadsheets/d/1QqKyyYR6Q21VydFLVH3TRQUabQu_ym0Zz7PgGX0-kHA/edit?usp=sharing"",""แผน!AI16"")"),2)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</row>
    <row r="205" spans="1:1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</row>
    <row r="206" spans="1:1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</row>
    <row r="207" spans="1:1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</row>
    <row r="208" spans="1:1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16" ht="19.5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14000</v>
      </c>
      <c r="M209" s="155"/>
      <c r="N209" s="155">
        <f>N210+N211+N212</f>
        <v>8000</v>
      </c>
      <c r="O209" s="155">
        <f ca="1">IF(L209&gt;0,N209*100/L209,0)</f>
        <v>57.142857142857146</v>
      </c>
      <c r="P209" s="155">
        <f>IF(M209&gt;0,N209*100/M209,0)</f>
        <v>0</v>
      </c>
    </row>
    <row r="210" spans="1:16" ht="18.75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IFERROR(__xludf.DUMMYFUNCTION("IMPORTRANGE(""https://docs.google.com/spreadsheets/d/1QqKyyYR6Q21VydFLVH3TRQUabQu_ym0Zz7PgGX0-kHA/edit?usp=sharing"",""แผน!AK16"")"),1000)</f>
        <v>1000</v>
      </c>
      <c r="M210" s="466"/>
      <c r="N210" s="801">
        <v>0</v>
      </c>
      <c r="O210" s="466"/>
      <c r="P210" s="466"/>
    </row>
    <row r="211" spans="1:16" ht="19.5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IFERROR(__xludf.DUMMYFUNCTION("IMPORTRANGE(""https://docs.google.com/spreadsheets/d/1QqKyyYR6Q21VydFLVH3TRQUabQu_ym0Zz7PgGX0-kHA/edit?usp=sharing"",""แผน!AL16"")"),5000)</f>
        <v>5000</v>
      </c>
      <c r="M211" s="466"/>
      <c r="N211" s="801">
        <v>0</v>
      </c>
      <c r="O211" s="466"/>
      <c r="P211" s="466"/>
    </row>
    <row r="212" spans="1:16" ht="19.5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IFERROR(__xludf.DUMMYFUNCTION("IMPORTRANGE(""https://docs.google.com/spreadsheets/d/1QqKyyYR6Q21VydFLVH3TRQUabQu_ym0Zz7PgGX0-kHA/edit?usp=sharing"",""แผน!AM16"")"),8000)</f>
        <v>8000</v>
      </c>
      <c r="M212" s="466"/>
      <c r="N212" s="801">
        <v>8000</v>
      </c>
      <c r="O212" s="466"/>
      <c r="P212" s="466"/>
    </row>
    <row r="213" spans="1:16" ht="19.5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</row>
    <row r="214" spans="1:16" ht="18.75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IFERROR(__xludf.DUMMYFUNCTION("IMPORTRANGE(""https://docs.google.com/spreadsheets/d/1QqKyyYR6Q21VydFLVH3TRQUabQu_ym0Zz7PgGX0-kHA/edit?usp=sharing"",""แผน!AN16"")"),1)</f>
        <v>1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</row>
    <row r="215" spans="1:16" ht="18.75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IFERROR(__xludf.DUMMYFUNCTION("IMPORTRANGE(""https://docs.google.com/spreadsheets/d/1QqKyyYR6Q21VydFLVH3TRQUabQu_ym0Zz7PgGX0-kHA/edit?usp=sharing"",""แผน!AN16"")"),1)</f>
        <v>1</v>
      </c>
      <c r="J215" s="215">
        <v>1</v>
      </c>
      <c r="K215" s="466">
        <f t="shared" ca="1" si="102"/>
        <v>100</v>
      </c>
      <c r="L215" s="466"/>
      <c r="M215" s="466"/>
      <c r="N215" s="466"/>
      <c r="O215" s="466"/>
      <c r="P215" s="466"/>
    </row>
    <row r="216" spans="1:1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13000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16" ht="19.5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</row>
    <row r="218" spans="1:16" ht="18.75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IFERROR(__xludf.DUMMYFUNCTION("IMPORTRANGE(""https://docs.google.com/spreadsheets/d/1QqKyyYR6Q21VydFLVH3TRQUabQu_ym0Zz7PgGX0-kHA/edit?usp=sharing"",""แผน!AP16"")"),3000)</f>
        <v>3000</v>
      </c>
      <c r="M218" s="466"/>
      <c r="N218" s="801">
        <v>0</v>
      </c>
      <c r="O218" s="466"/>
      <c r="P218" s="466"/>
    </row>
    <row r="219" spans="1:16" ht="19.5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IFERROR(__xludf.DUMMYFUNCTION("IMPORTRANGE(""https://docs.google.com/spreadsheets/d/1QqKyyYR6Q21VydFLVH3TRQUabQu_ym0Zz7PgGX0-kHA/edit?usp=sharing"",""แผน!AQ16"")"),4100)</f>
        <v>4100</v>
      </c>
      <c r="M219" s="466"/>
      <c r="N219" s="801">
        <v>0</v>
      </c>
      <c r="O219" s="466"/>
      <c r="P219" s="466"/>
    </row>
    <row r="220" spans="1:16" ht="19.5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IFERROR(__xludf.DUMMYFUNCTION("IMPORTRANGE(""https://docs.google.com/spreadsheets/d/1QqKyyYR6Q21VydFLVH3TRQUabQu_ym0Zz7PgGX0-kHA/edit?usp=sharing"",""แผน!AR16"")"),0)</f>
        <v>0</v>
      </c>
      <c r="M220" s="466"/>
      <c r="N220" s="801">
        <v>0</v>
      </c>
      <c r="O220" s="466"/>
      <c r="P220" s="466"/>
    </row>
    <row r="221" spans="1:16" ht="19.5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</row>
    <row r="222" spans="1:16" ht="18.75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</row>
    <row r="223" spans="1:16" ht="18.75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IFERROR(__xludf.DUMMYFUNCTION("IMPORTRANGE(""https://docs.google.com/spreadsheets/d/1QqKyyYR6Q21VydFLVH3TRQUabQu_ym0Zz7PgGX0-kHA/edit?usp=sharing"",""แผน!AT16"")"),13000)</f>
        <v>13000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</row>
    <row r="224" spans="1:16" ht="18.75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IFERROR(__xludf.DUMMYFUNCTION("IMPORTRANGE(""https://docs.google.com/spreadsheets/d/1QqKyyYR6Q21VydFLVH3TRQUabQu_ym0Zz7PgGX0-kHA/edit?usp=sharing"",""แผน!AT16"")"),13000)</f>
        <v>13000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</row>
    <row r="225" spans="1:16" ht="18.75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IFERROR(__xludf.DUMMYFUNCTION("IMPORTRANGE(""https://docs.google.com/spreadsheets/d/1QqKyyYR6Q21VydFLVH3TRQUabQu_ym0Zz7PgGX0-kHA/edit?usp=sharing"",""แผน!AS16"")"),0)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</row>
    <row r="226" spans="1:1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5">I237+I248</f>
        <v>100</v>
      </c>
      <c r="J226" s="821">
        <f t="shared" si="105"/>
        <v>100</v>
      </c>
      <c r="K226" s="822">
        <f t="shared" ca="1" si="104"/>
        <v>100</v>
      </c>
      <c r="L226" s="262"/>
      <c r="M226" s="262"/>
      <c r="N226" s="262"/>
      <c r="O226" s="262"/>
      <c r="P226" s="262"/>
    </row>
    <row r="227" spans="1:1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6">L238+L249</f>
        <v>533800</v>
      </c>
      <c r="M227" s="831"/>
      <c r="N227" s="831">
        <f t="shared" ref="N227:N231" si="107">N238+N249</f>
        <v>262603</v>
      </c>
      <c r="O227" s="832"/>
      <c r="P227" s="832"/>
    </row>
    <row r="228" spans="1:1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334200</v>
      </c>
      <c r="M228" s="93"/>
      <c r="N228" s="93">
        <f t="shared" si="107"/>
        <v>123003</v>
      </c>
      <c r="O228" s="93"/>
      <c r="P228" s="93"/>
    </row>
    <row r="229" spans="1:1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139600</v>
      </c>
      <c r="M229" s="93"/>
      <c r="N229" s="93">
        <f t="shared" si="107"/>
        <v>139600</v>
      </c>
      <c r="O229" s="93"/>
      <c r="P229" s="93"/>
    </row>
    <row r="230" spans="1:1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</row>
    <row r="231" spans="1:1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60000</v>
      </c>
      <c r="M231" s="93"/>
      <c r="N231" s="93">
        <f t="shared" si="107"/>
        <v>0</v>
      </c>
      <c r="O231" s="93"/>
      <c r="P231" s="93"/>
    </row>
    <row r="232" spans="1:1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</row>
    <row r="233" spans="1:1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8">I244+I255</f>
        <v>100</v>
      </c>
      <c r="J233" s="584">
        <f t="shared" si="108"/>
        <v>100</v>
      </c>
      <c r="K233" s="93">
        <f ca="1">IF(I233&gt;0,J233*100/I233,0)</f>
        <v>100</v>
      </c>
      <c r="L233" s="93"/>
      <c r="M233" s="93"/>
      <c r="N233" s="93"/>
      <c r="O233" s="93"/>
      <c r="P233" s="93"/>
    </row>
    <row r="234" spans="1:1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</row>
    <row r="235" spans="1:1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</row>
    <row r="236" spans="1:1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09"/>
        <v>3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</row>
    <row r="237" spans="1:16" ht="19.5">
      <c r="A237" s="256"/>
      <c r="B237" s="264"/>
      <c r="C237" s="340" t="s">
        <v>335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100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16" ht="19.5">
      <c r="A238" s="147"/>
      <c r="B238" s="148"/>
      <c r="C238" s="149" t="s">
        <v>16</v>
      </c>
      <c r="D238" s="84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533800</v>
      </c>
      <c r="M238" s="155"/>
      <c r="N238" s="155">
        <f>N239+N240+N241+N242</f>
        <v>262603</v>
      </c>
      <c r="O238" s="155">
        <f ca="1">IF(L238&gt;0,N238*100/L238,0)</f>
        <v>49.195016860247286</v>
      </c>
      <c r="P238" s="155">
        <f>IF(M238&gt;0,N238*100/M238,0)</f>
        <v>0</v>
      </c>
    </row>
    <row r="239" spans="1:1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IFERROR(__xludf.DUMMYFUNCTION("IMPORTRANGE(""https://docs.google.com/spreadsheets/d/1QqKyyYR6Q21VydFLVH3TRQUabQu_ym0Zz7PgGX0-kHA/edit?usp=sharing"",""แผน!AV16"")"),334200)</f>
        <v>334200</v>
      </c>
      <c r="M239" s="322"/>
      <c r="N239" s="341">
        <v>123003</v>
      </c>
      <c r="O239" s="322"/>
      <c r="P239" s="322"/>
    </row>
    <row r="240" spans="1:1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IFERROR(__xludf.DUMMYFUNCTION("IMPORTRANGE(""https://docs.google.com/spreadsheets/d/1QqKyyYR6Q21VydFLVH3TRQUabQu_ym0Zz7PgGX0-kHA/edit?usp=sharing"",""แผน!AW16"")"),139600)</f>
        <v>139600</v>
      </c>
      <c r="M240" s="322"/>
      <c r="N240" s="341">
        <v>139600</v>
      </c>
      <c r="O240" s="322"/>
      <c r="P240" s="322"/>
    </row>
    <row r="241" spans="1:1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IFERROR(__xludf.DUMMYFUNCTION("IMPORTRANGE(""https://docs.google.com/spreadsheets/d/1QqKyyYR6Q21VydFLVH3TRQUabQu_ym0Zz7PgGX0-kHA/edit?usp=sharing"",""แผน!AX16"")"),0)</f>
        <v>0</v>
      </c>
      <c r="M241" s="322"/>
      <c r="N241" s="341">
        <v>0</v>
      </c>
      <c r="O241" s="322"/>
      <c r="P241" s="322"/>
    </row>
    <row r="242" spans="1:1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IFERROR(__xludf.DUMMYFUNCTION("IMPORTRANGE(""https://docs.google.com/spreadsheets/d/1QqKyyYR6Q21VydFLVH3TRQUabQu_ym0Zz7PgGX0-kHA/edit?usp=sharing"",""แผน!AY16"")"),60000)</f>
        <v>60000</v>
      </c>
      <c r="M242" s="322"/>
      <c r="N242" s="341">
        <v>0</v>
      </c>
      <c r="O242" s="322"/>
      <c r="P242" s="322"/>
    </row>
    <row r="243" spans="1:16" ht="19.5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</row>
    <row r="244" spans="1:16" ht="18.75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IFERROR(__xludf.DUMMYFUNCTION("IMPORTRANGE(""https://docs.google.com/spreadsheets/d/1QqKyyYR6Q21VydFLVH3TRQUabQu_ym0Zz7PgGX0-kHA/edit?usp=sharing"",""แผน!BE16"")"),100)</f>
        <v>100</v>
      </c>
      <c r="J244" s="215">
        <v>100</v>
      </c>
      <c r="K244" s="466">
        <f ca="1">IF(I244&gt;0,J244*100/I244,0)</f>
        <v>100</v>
      </c>
      <c r="L244" s="466"/>
      <c r="M244" s="466"/>
      <c r="N244" s="466"/>
      <c r="O244" s="466"/>
      <c r="P244" s="466"/>
    </row>
    <row r="245" spans="1:16" ht="18.75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</row>
    <row r="246" spans="1:16" ht="18.75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>
        <v>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</row>
    <row r="247" spans="1:16" ht="18.75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>
        <v>3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</row>
    <row r="248" spans="1:1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16" ht="19.5" hidden="1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</row>
    <row r="250" spans="1:1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IFERROR(__xludf.DUMMYFUNCTION("IMPORTRANGE(""https://docs.google.com/spreadsheets/d/1QqKyyYR6Q21VydFLVH3TRQUabQu_ym0Zz7PgGX0-kHA/edit?usp=sharing"",""แผน!AZ16"")"),0)</f>
        <v>0</v>
      </c>
      <c r="M250" s="322"/>
      <c r="N250" s="341">
        <v>0</v>
      </c>
      <c r="O250" s="322"/>
      <c r="P250" s="322"/>
    </row>
    <row r="251" spans="1:1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IFERROR(__xludf.DUMMYFUNCTION("IMPORTRANGE(""https://docs.google.com/spreadsheets/d/1QqKyyYR6Q21VydFLVH3TRQUabQu_ym0Zz7PgGX0-kHA/edit?usp=sharing"",""แผน!BA16"")"),0)</f>
        <v>0</v>
      </c>
      <c r="M251" s="322"/>
      <c r="N251" s="341">
        <v>0</v>
      </c>
      <c r="O251" s="322"/>
      <c r="P251" s="322"/>
    </row>
    <row r="252" spans="1:1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IFERROR(__xludf.DUMMYFUNCTION("IMPORTRANGE(""https://docs.google.com/spreadsheets/d/1QqKyyYR6Q21VydFLVH3TRQUabQu_ym0Zz7PgGX0-kHA/edit?usp=sharing"",""แผน!BB16"")"),0)</f>
        <v>0</v>
      </c>
      <c r="M252" s="322"/>
      <c r="N252" s="341">
        <v>0</v>
      </c>
      <c r="O252" s="322"/>
      <c r="P252" s="322"/>
    </row>
    <row r="253" spans="1:1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IFERROR(__xludf.DUMMYFUNCTION("IMPORTRANGE(""https://docs.google.com/spreadsheets/d/1QqKyyYR6Q21VydFLVH3TRQUabQu_ym0Zz7PgGX0-kHA/edit?usp=sharing"",""แผน!BC16"")"),0)</f>
        <v>0</v>
      </c>
      <c r="M253" s="322"/>
      <c r="N253" s="341">
        <v>0</v>
      </c>
      <c r="O253" s="322"/>
      <c r="P253" s="322"/>
    </row>
    <row r="254" spans="1:16" ht="19.5" hidden="1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</row>
    <row r="255" spans="1:1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IFERROR(__xludf.DUMMYFUNCTION("IMPORTRANGE(""https://docs.google.com/spreadsheets/d/1QqKyyYR6Q21VydFLVH3TRQUabQu_ym0Zz7PgGX0-kHA/edit?usp=sharing"",""แผน!BF16"")"),0)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</row>
    <row r="256" spans="1:16" ht="18.75" hidden="1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</row>
    <row r="257" spans="1:1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</row>
    <row r="258" spans="1:1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</row>
    <row r="259" spans="1:1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1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16" ht="19.5">
      <c r="A261" s="147"/>
      <c r="B261" s="148"/>
      <c r="C261" s="149" t="s">
        <v>16</v>
      </c>
      <c r="D261" s="84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27340</v>
      </c>
      <c r="O261" s="155">
        <f t="shared" ref="O261:O269" ca="1" si="117">IF(L261&gt;0,N261*100/L261,0)</f>
        <v>89.055374592833871</v>
      </c>
      <c r="P261" s="155">
        <f t="shared" ref="P261:P269" ca="1" si="118">IF(M261&gt;0,N261*100/M261,0)</f>
        <v>98.700361010830321</v>
      </c>
    </row>
    <row r="262" spans="1:1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</row>
    <row r="263" spans="1:1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27340</v>
      </c>
      <c r="O263" s="93">
        <f t="shared" ca="1" si="117"/>
        <v>89.055374592833871</v>
      </c>
      <c r="P263" s="93">
        <f t="shared" ca="1" si="118"/>
        <v>98.700361010830321</v>
      </c>
    </row>
    <row r="264" spans="1:1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27700</v>
      </c>
      <c r="N264" s="466">
        <f t="shared" ca="1" si="120"/>
        <v>27340</v>
      </c>
      <c r="O264" s="466">
        <f t="shared" ca="1" si="117"/>
        <v>89.055374592833871</v>
      </c>
      <c r="P264" s="466">
        <f t="shared" ca="1" si="118"/>
        <v>98.700361010830321</v>
      </c>
    </row>
    <row r="265" spans="1:1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</row>
    <row r="266" spans="1:1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IFERROR(__xludf.DUMMYFUNCTION("IMPORTRANGE(""https://docs.google.com/spreadsheets/d/1MeEWN-I1oV_STSDYn1IFDPWt_1FKiwhDph83XaGc0o0/edit?usp=sharing"",""งบพรบ!CY16"")"),30700)</f>
        <v>30700</v>
      </c>
      <c r="M266" s="93">
        <f ca="1">IFERROR(__xludf.DUMMYFUNCTION("IMPORTRANGE(""https://docs.google.com/spreadsheets/d/1MeEWN-I1oV_STSDYn1IFDPWt_1FKiwhDph83XaGc0o0/edit?usp=sharing"",""งบพรบ!DD16"")"),27700)</f>
        <v>27700</v>
      </c>
      <c r="N266" s="93">
        <f ca="1">IFERROR(__xludf.DUMMYFUNCTION("IMPORTRANGE(""https://docs.google.com/spreadsheets/d/1MeEWN-I1oV_STSDYn1IFDPWt_1FKiwhDph83XaGc0o0/edit?usp=sharing"",""งบพรบ!DF16"")"),27340)</f>
        <v>27340</v>
      </c>
      <c r="O266" s="93">
        <f t="shared" ca="1" si="117"/>
        <v>89.055374592833871</v>
      </c>
      <c r="P266" s="93">
        <f t="shared" ca="1" si="118"/>
        <v>98.700361010830321</v>
      </c>
    </row>
    <row r="267" spans="1:1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</row>
    <row r="268" spans="1:1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</row>
    <row r="269" spans="1:1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IFERROR(__xludf.DUMMYFUNCTION("IMPORTRANGE(""https://docs.google.com/spreadsheets/d/1MeEWN-I1oV_STSDYn1IFDPWt_1FKiwhDph83XaGc0o0/edit?usp=sharing"",""งบพรบ!DB16"")"),0)</f>
        <v>0</v>
      </c>
      <c r="M269" s="93">
        <f ca="1">IFERROR(__xludf.DUMMYFUNCTION("IMPORTRANGE(""https://docs.google.com/spreadsheets/d/1MeEWN-I1oV_STSDYn1IFDPWt_1FKiwhDph83XaGc0o0/edit?usp=sharing"",""งบพรบ!DE16"")"),0)</f>
        <v>0</v>
      </c>
      <c r="N269" s="93">
        <f ca="1">IFERROR(__xludf.DUMMYFUNCTION("IMPORTRANGE(""https://docs.google.com/spreadsheets/d/1MeEWN-I1oV_STSDYn1IFDPWt_1FKiwhDph83XaGc0o0/edit?usp=sharing"",""งบพรบ!DG16"")"),0)</f>
        <v>0</v>
      </c>
      <c r="O269" s="93">
        <f t="shared" ca="1" si="117"/>
        <v>0</v>
      </c>
      <c r="P269" s="93">
        <f t="shared" ca="1" si="118"/>
        <v>0</v>
      </c>
    </row>
    <row r="270" spans="1:1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1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IFERROR(__xludf.DUMMYFUNCTION("IMPORTRANGE(""https://docs.google.com/spreadsheets/d/1QqKyyYR6Q21VydFLVH3TRQUabQu_ym0Zz7PgGX0-kHA/edit?usp=sharing"",""แผน!EA16"")"),26)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1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1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1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1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30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1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300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16" ht="19.5">
      <c r="A277" s="147"/>
      <c r="B277" s="148"/>
      <c r="C277" s="149" t="s">
        <v>16</v>
      </c>
      <c r="D277" s="84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41818</v>
      </c>
      <c r="O277" s="155">
        <f t="shared" ref="O277:O285" ca="1" si="126">IF(L277&gt;0,N277*100/L277,0)</f>
        <v>37.43442843075821</v>
      </c>
      <c r="P277" s="155">
        <f t="shared" ref="P277:P285" ca="1" si="127">IF(M277&gt;0,N277*100/M277,0)</f>
        <v>37.43442843075821</v>
      </c>
    </row>
    <row r="278" spans="1:1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</row>
    <row r="279" spans="1:1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41818</v>
      </c>
      <c r="O279" s="93">
        <f t="shared" ca="1" si="126"/>
        <v>37.43442843075821</v>
      </c>
      <c r="P279" s="93">
        <f t="shared" ca="1" si="127"/>
        <v>37.43442843075821</v>
      </c>
    </row>
    <row r="280" spans="1:16" ht="18.75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29">L281+L282</f>
        <v>111710</v>
      </c>
      <c r="M280" s="466">
        <f t="shared" ca="1" si="129"/>
        <v>111710</v>
      </c>
      <c r="N280" s="466">
        <f t="shared" ca="1" si="129"/>
        <v>41818</v>
      </c>
      <c r="O280" s="466">
        <f t="shared" ca="1" si="126"/>
        <v>37.43442843075821</v>
      </c>
      <c r="P280" s="466">
        <f t="shared" ca="1" si="127"/>
        <v>37.43442843075821</v>
      </c>
    </row>
    <row r="281" spans="1:1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</row>
    <row r="282" spans="1:1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IFERROR(__xludf.DUMMYFUNCTION("IMPORTRANGE(""https://docs.google.com/spreadsheets/d/1MeEWN-I1oV_STSDYn1IFDPWt_1FKiwhDph83XaGc0o0/edit?usp=sharing"",""งบพรบ!DI16"")"),111710)</f>
        <v>111710</v>
      </c>
      <c r="M282" s="93">
        <f ca="1">IFERROR(__xludf.DUMMYFUNCTION("IMPORTRANGE(""https://docs.google.com/spreadsheets/d/1MeEWN-I1oV_STSDYn1IFDPWt_1FKiwhDph83XaGc0o0/edit?usp=sharing"",""งบพรบ!DN16"")"),111710)</f>
        <v>111710</v>
      </c>
      <c r="N282" s="93">
        <f ca="1">IFERROR(__xludf.DUMMYFUNCTION("IMPORTRANGE(""https://docs.google.com/spreadsheets/d/1MeEWN-I1oV_STSDYn1IFDPWt_1FKiwhDph83XaGc0o0/edit?usp=sharing"",""งบพรบ!DP16"")"),41818)</f>
        <v>41818</v>
      </c>
      <c r="O282" s="93">
        <f t="shared" ca="1" si="126"/>
        <v>37.43442843075821</v>
      </c>
      <c r="P282" s="93">
        <f t="shared" ca="1" si="127"/>
        <v>37.43442843075821</v>
      </c>
    </row>
    <row r="283" spans="1:1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</row>
    <row r="284" spans="1:1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</row>
    <row r="285" spans="1:1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IFERROR(__xludf.DUMMYFUNCTION("IMPORTRANGE(""https://docs.google.com/spreadsheets/d/1MeEWN-I1oV_STSDYn1IFDPWt_1FKiwhDph83XaGc0o0/edit?usp=sharing"",""งบพรบ!DL16"")"),0)</f>
        <v>0</v>
      </c>
      <c r="M285" s="93">
        <f ca="1">IFERROR(__xludf.DUMMYFUNCTION("IMPORTRANGE(""https://docs.google.com/spreadsheets/d/1MeEWN-I1oV_STSDYn1IFDPWt_1FKiwhDph83XaGc0o0/edit?usp=sharing"",""งบพรบ!DO16"")"),0)</f>
        <v>0</v>
      </c>
      <c r="N285" s="93">
        <f ca="1">IFERROR(__xludf.DUMMYFUNCTION("IMPORTRANGE(""https://docs.google.com/spreadsheets/d/1MeEWN-I1oV_STSDYn1IFDPWt_1FKiwhDph83XaGc0o0/edit?usp=sharing"",""งบพรบ!DQ16"")"),0)</f>
        <v>0</v>
      </c>
      <c r="O285" s="93">
        <f t="shared" ca="1" si="126"/>
        <v>0</v>
      </c>
      <c r="P285" s="93">
        <f t="shared" ca="1" si="127"/>
        <v>0</v>
      </c>
    </row>
    <row r="286" spans="1:16" ht="19.5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16" ht="18.75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IFERROR(__xludf.DUMMYFUNCTION("IMPORTRANGE(""https://docs.google.com/spreadsheets/d/1QqKyyYR6Q21VydFLVH3TRQUabQu_ym0Zz7PgGX0-kHA/edit?usp=sharing"",""แผน!EC16"")"),300)</f>
        <v>300</v>
      </c>
      <c r="J287" s="215"/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1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IFERROR(__xludf.DUMMYFUNCTION("IMPORTRANGE(""https://docs.google.com/spreadsheets/d/1QqKyyYR6Q21VydFLVH3TRQUabQu_ym0Zz7PgGX0-kHA/edit?usp=sharing"",""แผน!EB16"")"),30)</f>
        <v>30</v>
      </c>
      <c r="J288" s="648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16" ht="19.5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16" ht="19.5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IFERROR(__xludf.DUMMYFUNCTION("IMPORTRANGE(""https://docs.google.com/spreadsheets/d/1QqKyyYR6Q21VydFLVH3TRQUabQu_ym0Zz7PgGX0-kHA/edit?usp=sharing"",""แผน!EB16"")"),30)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16" ht="19.5">
      <c r="A291" s="170"/>
      <c r="B291" s="171"/>
      <c r="C291" s="171"/>
      <c r="D291" s="343"/>
      <c r="E291" s="593" t="s">
        <v>133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IFERROR(__xludf.DUMMYFUNCTION("IMPORTRANGE(""https://docs.google.com/spreadsheets/d/1QqKyyYR6Q21VydFLVH3TRQUabQu_ym0Zz7PgGX0-kHA/edit?usp=sharing"",""แผน!EB16"")"),30)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1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16" ht="19.5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IFERROR(__xludf.DUMMYFUNCTION("IMPORTRANGE(""https://docs.google.com/spreadsheets/d/1QqKyyYR6Q21VydFLVH3TRQUabQu_ym0Zz7PgGX0-kHA/edit?usp=sharing"",""แผน!EB16"")"),30)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16" ht="19.5">
      <c r="A294" s="347"/>
      <c r="B294" s="348"/>
      <c r="C294" s="348"/>
      <c r="D294" s="350"/>
      <c r="E294" s="701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IFERROR(__xludf.DUMMYFUNCTION("IMPORTRANGE(""https://docs.google.com/spreadsheets/d/1QqKyyYR6Q21VydFLVH3TRQUabQu_ym0Zz7PgGX0-kHA/edit?usp=sharing"",""แผน!EB16"")"),30)</f>
        <v>30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1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1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1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16" ht="19.5">
      <c r="A298" s="147"/>
      <c r="B298" s="148"/>
      <c r="C298" s="149" t="s">
        <v>16</v>
      </c>
      <c r="D298" s="84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168400</v>
      </c>
      <c r="N298" s="155">
        <f t="shared" ca="1" si="135"/>
        <v>92812.45</v>
      </c>
      <c r="O298" s="155">
        <f t="shared" ref="O298:O306" ca="1" si="136">IF(L298&gt;0,N298*100/L298,0)</f>
        <v>41.176774622892637</v>
      </c>
      <c r="P298" s="155">
        <f t="shared" ref="P298:P306" ca="1" si="137">IF(M298&gt;0,N298*100/M298,0)</f>
        <v>55.114281472684084</v>
      </c>
    </row>
    <row r="299" spans="1:1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</row>
    <row r="300" spans="1:1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225400</v>
      </c>
      <c r="M300" s="93">
        <f t="shared" ca="1" si="138"/>
        <v>168400</v>
      </c>
      <c r="N300" s="93">
        <f t="shared" ca="1" si="138"/>
        <v>92812.45</v>
      </c>
      <c r="O300" s="93">
        <f t="shared" ca="1" si="136"/>
        <v>41.176774622892637</v>
      </c>
      <c r="P300" s="93">
        <f t="shared" ca="1" si="137"/>
        <v>55.114281472684084</v>
      </c>
    </row>
    <row r="301" spans="1:16" ht="18.75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168400</v>
      </c>
      <c r="N301" s="466">
        <f t="shared" ca="1" si="139"/>
        <v>92812.45</v>
      </c>
      <c r="O301" s="466">
        <f t="shared" ca="1" si="136"/>
        <v>41.176774622892637</v>
      </c>
      <c r="P301" s="466">
        <f t="shared" ca="1" si="137"/>
        <v>55.114281472684084</v>
      </c>
    </row>
    <row r="302" spans="1:1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</row>
    <row r="303" spans="1:1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IFERROR(__xludf.DUMMYFUNCTION("IMPORTRANGE(""https://docs.google.com/spreadsheets/d/1MeEWN-I1oV_STSDYn1IFDPWt_1FKiwhDph83XaGc0o0/edit?usp=sharing"",""งบพรบ!DS16"")"),225400)</f>
        <v>225400</v>
      </c>
      <c r="M303" s="93">
        <f ca="1">IFERROR(__xludf.DUMMYFUNCTION("IMPORTRANGE(""https://docs.google.com/spreadsheets/d/1MeEWN-I1oV_STSDYn1IFDPWt_1FKiwhDph83XaGc0o0/edit?usp=sharing"",""งบพรบ!DX16"")"),168400)</f>
        <v>168400</v>
      </c>
      <c r="N303" s="93">
        <f ca="1">IFERROR(__xludf.DUMMYFUNCTION("IMPORTRANGE(""https://docs.google.com/spreadsheets/d/1MeEWN-I1oV_STSDYn1IFDPWt_1FKiwhDph83XaGc0o0/edit?usp=sharing"",""งบพรบ!DZ16"")"),92812.45)</f>
        <v>92812.45</v>
      </c>
      <c r="O303" s="93">
        <f t="shared" ca="1" si="136"/>
        <v>41.176774622892637</v>
      </c>
      <c r="P303" s="93">
        <f t="shared" ca="1" si="137"/>
        <v>55.114281472684084</v>
      </c>
    </row>
    <row r="304" spans="1:1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</row>
    <row r="305" spans="1:1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</row>
    <row r="306" spans="1:1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IFERROR(__xludf.DUMMYFUNCTION("IMPORTRANGE(""https://docs.google.com/spreadsheets/d/1MeEWN-I1oV_STSDYn1IFDPWt_1FKiwhDph83XaGc0o0/edit?usp=sharing"",""งบพรบ!DV16"")"),0)</f>
        <v>0</v>
      </c>
      <c r="M306" s="93">
        <f ca="1">IFERROR(__xludf.DUMMYFUNCTION("IMPORTRANGE(""https://docs.google.com/spreadsheets/d/1MeEWN-I1oV_STSDYn1IFDPWt_1FKiwhDph83XaGc0o0/edit?usp=sharing"",""งบพรบ!DY16"")"),0)</f>
        <v>0</v>
      </c>
      <c r="N306" s="93">
        <f ca="1">IFERROR(__xludf.DUMMYFUNCTION("IMPORTRANGE(""https://docs.google.com/spreadsheets/d/1MeEWN-I1oV_STSDYn1IFDPWt_1FKiwhDph83XaGc0o0/edit?usp=sharing"",""งบพรบ!EA16"")"),0)</f>
        <v>0</v>
      </c>
      <c r="O306" s="93">
        <f t="shared" ca="1" si="136"/>
        <v>0</v>
      </c>
      <c r="P306" s="93">
        <f t="shared" ca="1" si="137"/>
        <v>0</v>
      </c>
    </row>
    <row r="307" spans="1:16" ht="19.5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16" ht="18.75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16" ht="18.75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IFERROR(__xludf.DUMMYFUNCTION("IMPORTRANGE(""https://docs.google.com/spreadsheets/d/1QqKyyYR6Q21VydFLVH3TRQUabQu_ym0Zz7PgGX0-kHA/edit?usp=sharing"",""แผน!ED16"")"),20)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16" ht="18.75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IFERROR(__xludf.DUMMYFUNCTION("IMPORTRANGE(""https://docs.google.com/spreadsheets/d/1QqKyyYR6Q21VydFLVH3TRQUabQu_ym0Zz7PgGX0-kHA/edit?usp=sharing"",""แผน!ED16"")"),20)</f>
        <v>20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16" ht="18.75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IFERROR(__xludf.DUMMYFUNCTION("IMPORTRANGE(""https://docs.google.com/spreadsheets/d/1QqKyyYR6Q21VydFLVH3TRQUabQu_ym0Zz7PgGX0-kHA/edit?usp=sharing"",""แผน!ED16"")"),20)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16" ht="18.75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IFERROR(__xludf.DUMMYFUNCTION("IMPORTRANGE(""https://docs.google.com/spreadsheets/d/1QqKyyYR6Q21VydFLVH3TRQUabQu_ym0Zz7PgGX0-kHA/edit?usp=sharing"",""แผน!EE16"")"),4)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1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1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16" ht="19.5">
      <c r="A315" s="147"/>
      <c r="B315" s="148"/>
      <c r="C315" s="149" t="s">
        <v>16</v>
      </c>
      <c r="D315" s="84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10000</v>
      </c>
      <c r="M315" s="155">
        <f t="shared" ca="1" si="143"/>
        <v>10000</v>
      </c>
      <c r="N315" s="155">
        <f t="shared" ca="1" si="143"/>
        <v>3200</v>
      </c>
      <c r="O315" s="155">
        <f t="shared" ref="O315:O323" ca="1" si="144">IF(L315&gt;0,N315*100/L315,0)</f>
        <v>32</v>
      </c>
      <c r="P315" s="155">
        <f t="shared" ref="P315:P323" ca="1" si="145">IF(M315&gt;0,N315*100/M315,0)</f>
        <v>32</v>
      </c>
    </row>
    <row r="316" spans="1:1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</row>
    <row r="317" spans="1:1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10000</v>
      </c>
      <c r="M317" s="93">
        <f t="shared" ca="1" si="146"/>
        <v>10000</v>
      </c>
      <c r="N317" s="93">
        <f t="shared" ca="1" si="146"/>
        <v>3200</v>
      </c>
      <c r="O317" s="93">
        <f t="shared" ca="1" si="144"/>
        <v>32</v>
      </c>
      <c r="P317" s="93">
        <f t="shared" ca="1" si="145"/>
        <v>32</v>
      </c>
    </row>
    <row r="318" spans="1:16" ht="18.75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7">L319+L320</f>
        <v>10000</v>
      </c>
      <c r="M318" s="466">
        <f t="shared" ca="1" si="147"/>
        <v>10000</v>
      </c>
      <c r="N318" s="466">
        <f t="shared" ca="1" si="147"/>
        <v>3200</v>
      </c>
      <c r="O318" s="466">
        <f t="shared" ca="1" si="144"/>
        <v>32</v>
      </c>
      <c r="P318" s="466">
        <f t="shared" ca="1" si="145"/>
        <v>32</v>
      </c>
    </row>
    <row r="319" spans="1:1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</row>
    <row r="320" spans="1:1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IFERROR(__xludf.DUMMYFUNCTION("IMPORTRANGE(""https://docs.google.com/spreadsheets/d/1MeEWN-I1oV_STSDYn1IFDPWt_1FKiwhDph83XaGc0o0/edit?usp=sharing"",""งบพรบ!EC16"")"),10000)</f>
        <v>10000</v>
      </c>
      <c r="M320" s="93">
        <f ca="1">IFERROR(__xludf.DUMMYFUNCTION("IMPORTRANGE(""https://docs.google.com/spreadsheets/d/1MeEWN-I1oV_STSDYn1IFDPWt_1FKiwhDph83XaGc0o0/edit?usp=sharing"",""งบพรบ!EH16"")"),10000)</f>
        <v>10000</v>
      </c>
      <c r="N320" s="93">
        <f ca="1">IFERROR(__xludf.DUMMYFUNCTION("IMPORTRANGE(""https://docs.google.com/spreadsheets/d/1MeEWN-I1oV_STSDYn1IFDPWt_1FKiwhDph83XaGc0o0/edit?usp=sharing"",""งบพรบ!EJ16"")"),3200)</f>
        <v>3200</v>
      </c>
      <c r="O320" s="93">
        <f t="shared" ca="1" si="144"/>
        <v>32</v>
      </c>
      <c r="P320" s="93">
        <f t="shared" ca="1" si="145"/>
        <v>32</v>
      </c>
    </row>
    <row r="321" spans="1:1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</row>
    <row r="322" spans="1:1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</row>
    <row r="323" spans="1:1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IFERROR(__xludf.DUMMYFUNCTION("IMPORTRANGE(""https://docs.google.com/spreadsheets/d/1MeEWN-I1oV_STSDYn1IFDPWt_1FKiwhDph83XaGc0o0/edit?usp=sharing"",""งบพรบ!EF16"")"),0)</f>
        <v>0</v>
      </c>
      <c r="M323" s="93">
        <f ca="1">IFERROR(__xludf.DUMMYFUNCTION("IMPORTRANGE(""https://docs.google.com/spreadsheets/d/1MeEWN-I1oV_STSDYn1IFDPWt_1FKiwhDph83XaGc0o0/edit?usp=sharing"",""งบพรบ!EI16"")"),0)</f>
        <v>0</v>
      </c>
      <c r="N323" s="93">
        <f ca="1">IFERROR(__xludf.DUMMYFUNCTION("IMPORTRANGE(""https://docs.google.com/spreadsheets/d/1MeEWN-I1oV_STSDYn1IFDPWt_1FKiwhDph83XaGc0o0/edit?usp=sharing"",""งบพรบ!EK16"")"),0)</f>
        <v>0</v>
      </c>
      <c r="O323" s="93">
        <f t="shared" ca="1" si="144"/>
        <v>0</v>
      </c>
      <c r="P323" s="93">
        <f t="shared" ca="1" si="145"/>
        <v>0</v>
      </c>
    </row>
    <row r="324" spans="1:16" ht="19.5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16" ht="18.75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IFERROR(__xludf.DUMMYFUNCTION("IMPORTRANGE(""https://docs.google.com/spreadsheets/d/1QqKyyYR6Q21VydFLVH3TRQUabQu_ym0Zz7PgGX0-kHA/edit?usp=sharing"",""แผน!EF16"")"),1)</f>
        <v>1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1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1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IFERROR(__xludf.DUMMYFUNCTION("IMPORTRANGE(""https://docs.google.com/spreadsheets/d/1QqKyyYR6Q21VydFLVH3TRQUabQu_ym0Zz7PgGX0-kHA/edit?usp=sharing"",""แผน!EG16"")"),900)</f>
        <v>900</v>
      </c>
      <c r="J327" s="413">
        <f ca="1">J338+J341+J342+J343</f>
        <v>915</v>
      </c>
      <c r="K327" s="414">
        <f ca="1">IF(I327&gt;0,J327*100/I327,0)</f>
        <v>101.66666666666667</v>
      </c>
      <c r="L327" s="415"/>
      <c r="M327" s="415"/>
      <c r="N327" s="415"/>
      <c r="O327" s="415"/>
      <c r="P327" s="415"/>
    </row>
    <row r="328" spans="1:16" ht="19.5">
      <c r="A328" s="147"/>
      <c r="B328" s="148"/>
      <c r="C328" s="149" t="s">
        <v>16</v>
      </c>
      <c r="D328" s="84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651800</v>
      </c>
      <c r="M328" s="155">
        <f t="shared" ca="1" si="149"/>
        <v>488850</v>
      </c>
      <c r="N328" s="155">
        <f t="shared" ca="1" si="149"/>
        <v>226990.65</v>
      </c>
      <c r="O328" s="155">
        <f t="shared" ref="O328:O336" ca="1" si="150">IF(L328&gt;0,N328*100/L328,0)</f>
        <v>34.825199447683339</v>
      </c>
      <c r="P328" s="155">
        <f t="shared" ref="P328:P336" ca="1" si="151">IF(M328&gt;0,N328*100/M328,0)</f>
        <v>46.433599263577783</v>
      </c>
    </row>
    <row r="329" spans="1:1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</row>
    <row r="330" spans="1:1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651800</v>
      </c>
      <c r="M330" s="93">
        <f t="shared" ca="1" si="152"/>
        <v>488850</v>
      </c>
      <c r="N330" s="93">
        <f t="shared" ca="1" si="152"/>
        <v>226990.65</v>
      </c>
      <c r="O330" s="93">
        <f t="shared" ca="1" si="150"/>
        <v>34.825199447683339</v>
      </c>
      <c r="P330" s="93">
        <f t="shared" ca="1" si="151"/>
        <v>46.433599263577783</v>
      </c>
    </row>
    <row r="331" spans="1:1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3">L332+L333</f>
        <v>651800</v>
      </c>
      <c r="M331" s="466">
        <f t="shared" ca="1" si="153"/>
        <v>488850</v>
      </c>
      <c r="N331" s="466">
        <f t="shared" ca="1" si="153"/>
        <v>226990.65</v>
      </c>
      <c r="O331" s="466">
        <f t="shared" ca="1" si="150"/>
        <v>34.825199447683339</v>
      </c>
      <c r="P331" s="466">
        <f t="shared" ca="1" si="151"/>
        <v>46.433599263577783</v>
      </c>
    </row>
    <row r="332" spans="1:1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</row>
    <row r="333" spans="1:1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IFERROR(__xludf.DUMMYFUNCTION("IMPORTRANGE(""https://docs.google.com/spreadsheets/d/1MeEWN-I1oV_STSDYn1IFDPWt_1FKiwhDph83XaGc0o0/edit?usp=sharing"",""งบพรบ!EM16"")"),651800)</f>
        <v>651800</v>
      </c>
      <c r="M333" s="93">
        <f ca="1">IFERROR(__xludf.DUMMYFUNCTION("IMPORTRANGE(""https://docs.google.com/spreadsheets/d/1MeEWN-I1oV_STSDYn1IFDPWt_1FKiwhDph83XaGc0o0/edit?usp=sharing"",""งบพรบ!ER16"")"),488850)</f>
        <v>488850</v>
      </c>
      <c r="N333" s="93">
        <f ca="1">IFERROR(__xludf.DUMMYFUNCTION("IMPORTRANGE(""https://docs.google.com/spreadsheets/d/1MeEWN-I1oV_STSDYn1IFDPWt_1FKiwhDph83XaGc0o0/edit?usp=sharing"",""งบพรบ!ET16"")"),226990.65)</f>
        <v>226990.65</v>
      </c>
      <c r="O333" s="93">
        <f t="shared" ca="1" si="150"/>
        <v>34.825199447683339</v>
      </c>
      <c r="P333" s="93">
        <f t="shared" ca="1" si="151"/>
        <v>46.433599263577783</v>
      </c>
    </row>
    <row r="334" spans="1:1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</row>
    <row r="335" spans="1:1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</row>
    <row r="336" spans="1:1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IFERROR(__xludf.DUMMYFUNCTION("IMPORTRANGE(""https://docs.google.com/spreadsheets/d/1MeEWN-I1oV_STSDYn1IFDPWt_1FKiwhDph83XaGc0o0/edit?usp=sharing"",""งบพรบ!EP16"")"),0)</f>
        <v>0</v>
      </c>
      <c r="M336" s="93">
        <f ca="1">IFERROR(__xludf.DUMMYFUNCTION("IMPORTRANGE(""https://docs.google.com/spreadsheets/d/1MeEWN-I1oV_STSDYn1IFDPWt_1FKiwhDph83XaGc0o0/edit?usp=sharing"",""งบพรบ!ES16"")"),0)</f>
        <v>0</v>
      </c>
      <c r="N336" s="93">
        <f ca="1">IFERROR(__xludf.DUMMYFUNCTION("IMPORTRANGE(""https://docs.google.com/spreadsheets/d/1MeEWN-I1oV_STSDYn1IFDPWt_1FKiwhDph83XaGc0o0/edit?usp=sharing"",""งบพรบ!EU16"")"),0)</f>
        <v>0</v>
      </c>
      <c r="O336" s="93">
        <f t="shared" ca="1" si="150"/>
        <v>0</v>
      </c>
      <c r="P336" s="93">
        <f t="shared" ca="1" si="151"/>
        <v>0</v>
      </c>
    </row>
    <row r="337" spans="1:1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1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IFERROR(__xludf.DUMMYFUNCTION("IMPORTRANGE(""https://docs.google.com/spreadsheets/d/1QqKyyYR6Q21VydFLVH3TRQUabQu_ym0Zz7PgGX0-kHA/edit?usp=sharing"",""แผน!EG16"")"),900)</f>
        <v>900</v>
      </c>
      <c r="J338" s="270">
        <f ca="1">IFERROR(__xludf.DUMMYFUNCTION("IMPORTRANGE(""https://docs.google.com/spreadsheets/d/1kVcqe37tkHyjCSG3S0O1AXqVkqjo8mSIZil3BcpIysc/edit?usp=sharing"",""ศูนย์!D16"")"),739)</f>
        <v>739</v>
      </c>
      <c r="K338" s="466">
        <f ca="1">IF(I338&gt;0,J338*100/I338,0)</f>
        <v>82.111111111111114</v>
      </c>
      <c r="L338" s="466"/>
      <c r="M338" s="466"/>
      <c r="N338" s="466"/>
      <c r="O338" s="466"/>
      <c r="P338" s="466"/>
    </row>
    <row r="339" spans="1:1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1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IFERROR(__xludf.DUMMYFUNCTION("IMPORTRANGE(""https://docs.google.com/spreadsheets/d/1QqKyyYR6Q21VydFLVH3TRQUabQu_ym0Zz7PgGX0-kHA/edit?usp=sharing"",""แผน!EH16"")"),4)</f>
        <v>4</v>
      </c>
      <c r="J340" s="270">
        <f ca="1">IFERROR(__xludf.DUMMYFUNCTION("IMPORTRANGE(""https://docs.google.com/spreadsheets/d/1kVcqe37tkHyjCSG3S0O1AXqVkqjo8mSIZil3BcpIysc/edit?usp=sharing"",""ศูนย์!E16"")"),2)</f>
        <v>2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1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IFERROR(__xludf.DUMMYFUNCTION("IMPORTRANGE(""https://docs.google.com/spreadsheets/d/1kVcqe37tkHyjCSG3S0O1AXqVkqjo8mSIZil3BcpIysc/edit?usp=sharing"",""ศูนย์!F16"")"),144)</f>
        <v>144</v>
      </c>
      <c r="K341" s="466"/>
      <c r="L341" s="466"/>
      <c r="M341" s="466"/>
      <c r="N341" s="466"/>
      <c r="O341" s="466"/>
      <c r="P341" s="466"/>
    </row>
    <row r="342" spans="1:1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IFERROR(__xludf.DUMMYFUNCTION("IMPORTRANGE(""https://docs.google.com/spreadsheets/d/1kVcqe37tkHyjCSG3S0O1AXqVkqjo8mSIZil3BcpIysc/edit?usp=sharing"",""ศูนย์!G16"")"),0)</f>
        <v>0</v>
      </c>
      <c r="K342" s="466"/>
      <c r="L342" s="466"/>
      <c r="M342" s="466"/>
      <c r="N342" s="466"/>
      <c r="O342" s="466"/>
      <c r="P342" s="466"/>
    </row>
    <row r="343" spans="1:1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IFERROR(__xludf.DUMMYFUNCTION("IMPORTRANGE(""https://docs.google.com/spreadsheets/d/1kVcqe37tkHyjCSG3S0O1AXqVkqjo8mSIZil3BcpIysc/edit?usp=sharing"",""ศูนย์!H16"")"),32)</f>
        <v>32</v>
      </c>
      <c r="K343" s="466"/>
      <c r="L343" s="466"/>
      <c r="M343" s="466"/>
      <c r="N343" s="466"/>
      <c r="O343" s="466"/>
      <c r="P343" s="466"/>
    </row>
    <row r="344" spans="1:1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16" ht="19.5">
      <c r="A345" s="147"/>
      <c r="B345" s="148"/>
      <c r="C345" s="149" t="s">
        <v>16</v>
      </c>
      <c r="D345" s="84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422030</v>
      </c>
      <c r="M345" s="155">
        <f t="shared" ca="1" si="155"/>
        <v>308980</v>
      </c>
      <c r="N345" s="155">
        <f t="shared" ca="1" si="155"/>
        <v>160300</v>
      </c>
      <c r="O345" s="155">
        <f t="shared" ref="O345:O353" ca="1" si="156">IF(L345&gt;0,N345*100/L345,0)</f>
        <v>37.983081771438052</v>
      </c>
      <c r="P345" s="155">
        <f t="shared" ref="P345:P353" ca="1" si="157">IF(M345&gt;0,N345*100/M345,0)</f>
        <v>51.88038060715904</v>
      </c>
    </row>
    <row r="346" spans="1:1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</row>
    <row r="347" spans="1:1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422030</v>
      </c>
      <c r="M347" s="93">
        <f t="shared" ca="1" si="158"/>
        <v>308980</v>
      </c>
      <c r="N347" s="93">
        <f t="shared" ca="1" si="158"/>
        <v>160300</v>
      </c>
      <c r="O347" s="93">
        <f t="shared" ca="1" si="156"/>
        <v>37.983081771438052</v>
      </c>
      <c r="P347" s="93">
        <f t="shared" ca="1" si="157"/>
        <v>51.88038060715904</v>
      </c>
    </row>
    <row r="348" spans="1:1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59">L349+L350</f>
        <v>338230</v>
      </c>
      <c r="M348" s="466">
        <f t="shared" ca="1" si="159"/>
        <v>225180</v>
      </c>
      <c r="N348" s="466">
        <f t="shared" ca="1" si="159"/>
        <v>76500</v>
      </c>
      <c r="O348" s="466">
        <f t="shared" ca="1" si="156"/>
        <v>22.617745321231116</v>
      </c>
      <c r="P348" s="466">
        <f t="shared" ca="1" si="157"/>
        <v>33.972821742605916</v>
      </c>
    </row>
    <row r="349" spans="1:1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</row>
    <row r="350" spans="1:1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IFERROR(__xludf.DUMMYFUNCTION("IMPORTRANGE(""https://docs.google.com/spreadsheets/d/1MeEWN-I1oV_STSDYn1IFDPWt_1FKiwhDph83XaGc0o0/edit?usp=sharing"",""งบพรบ!EW16"")"),338230)</f>
        <v>338230</v>
      </c>
      <c r="M350" s="93">
        <f ca="1">IFERROR(__xludf.DUMMYFUNCTION("IMPORTRANGE(""https://docs.google.com/spreadsheets/d/1MeEWN-I1oV_STSDYn1IFDPWt_1FKiwhDph83XaGc0o0/edit?usp=sharing"",""งบพรบ!FB16"")"),225180)</f>
        <v>225180</v>
      </c>
      <c r="N350" s="93">
        <f ca="1">IFERROR(__xludf.DUMMYFUNCTION("IMPORTRANGE(""https://docs.google.com/spreadsheets/d/1MeEWN-I1oV_STSDYn1IFDPWt_1FKiwhDph83XaGc0o0/edit?usp=sharing"",""งบพรบ!FD16"")"),76500)</f>
        <v>76500</v>
      </c>
      <c r="O350" s="93">
        <f t="shared" ca="1" si="156"/>
        <v>22.617745321231116</v>
      </c>
      <c r="P350" s="93">
        <f t="shared" ca="1" si="157"/>
        <v>33.972821742605916</v>
      </c>
    </row>
    <row r="351" spans="1:1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83800</v>
      </c>
      <c r="M351" s="466">
        <f t="shared" ca="1" si="160"/>
        <v>83800</v>
      </c>
      <c r="N351" s="466">
        <f t="shared" ca="1" si="160"/>
        <v>83800</v>
      </c>
      <c r="O351" s="466">
        <f t="shared" ca="1" si="156"/>
        <v>100</v>
      </c>
      <c r="P351" s="466">
        <f t="shared" ca="1" si="157"/>
        <v>100</v>
      </c>
    </row>
    <row r="352" spans="1:1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</row>
    <row r="353" spans="1:1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IFERROR(__xludf.DUMMYFUNCTION("IMPORTRANGE(""https://docs.google.com/spreadsheets/d/1MeEWN-I1oV_STSDYn1IFDPWt_1FKiwhDph83XaGc0o0/edit?usp=sharing"",""งบพรบ!EZ16"")"),83800)</f>
        <v>83800</v>
      </c>
      <c r="M353" s="93">
        <f ca="1">IFERROR(__xludf.DUMMYFUNCTION("IMPORTRANGE(""https://docs.google.com/spreadsheets/d/1MeEWN-I1oV_STSDYn1IFDPWt_1FKiwhDph83XaGc0o0/edit?usp=sharing"",""งบพรบ!FC16"")"),83800)</f>
        <v>83800</v>
      </c>
      <c r="N353" s="93">
        <f ca="1">IFERROR(__xludf.DUMMYFUNCTION("IMPORTRANGE(""https://docs.google.com/spreadsheets/d/1MeEWN-I1oV_STSDYn1IFDPWt_1FKiwhDph83XaGc0o0/edit?usp=sharing"",""งบพรบ!FE16"")"),83800)</f>
        <v>83800</v>
      </c>
      <c r="O353" s="93">
        <f t="shared" ca="1" si="156"/>
        <v>100</v>
      </c>
      <c r="P353" s="93">
        <f t="shared" ca="1" si="157"/>
        <v>100</v>
      </c>
    </row>
    <row r="354" spans="1:1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1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IFERROR(__xludf.DUMMYFUNCTION("IMPORTRANGE(""https://docs.google.com/spreadsheets/d/1QqKyyYR6Q21VydFLVH3TRQUabQu_ym0Zz7PgGX0-kHA/edit?usp=sharing"",""แผน!EP16"")"),110)</f>
        <v>110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1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1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1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IFERROR(__xludf.DUMMYFUNCTION("IMPORTRANGE(""https://docs.google.com/spreadsheets/d/1XWAQStnk-4SwqDmLtmXYiTMKHgktTP8We1SCoS47DrQ/edit?usp=sharing"",""จัดที่ดิน!W16"")"),34)</f>
        <v>34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1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IFERROR(__xludf.DUMMYFUNCTION("IMPORTRANGE(""https://docs.google.com/spreadsheets/d/1QqKyyYR6Q21VydFLVH3TRQUabQu_ym0Zz7PgGX0-kHA/edit?usp=sharing"",""แผน!EO16"")"),1100)</f>
        <v>1100</v>
      </c>
      <c r="J359" s="270">
        <f ca="1">IFERROR(__xludf.DUMMYFUNCTION("IMPORTRANGE(""https://docs.google.com/spreadsheets/d/1XWAQStnk-4SwqDmLtmXYiTMKHgktTP8We1SCoS47DrQ/edit?usp=sharing"",""จัดที่ดิน!X16"")"),266.92)</f>
        <v>266.92</v>
      </c>
      <c r="K359" s="466">
        <f t="shared" ca="1" si="161"/>
        <v>24.265454545454546</v>
      </c>
      <c r="L359" s="163"/>
      <c r="M359" s="163"/>
      <c r="N359" s="163"/>
      <c r="O359" s="163"/>
      <c r="P359" s="163"/>
    </row>
    <row r="360" spans="1:1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IFERROR(__xludf.DUMMYFUNCTION("IMPORTRANGE(""https://docs.google.com/spreadsheets/d/1QqKyyYR6Q21VydFLVH3TRQUabQu_ym0Zz7PgGX0-kHA/edit?usp=sharing"",""แผน!EP16"")"),110)</f>
        <v>110</v>
      </c>
      <c r="J360" s="270">
        <f ca="1">IFERROR(__xludf.DUMMYFUNCTION("IMPORTRANGE(""https://docs.google.com/spreadsheets/d/1XWAQStnk-4SwqDmLtmXYiTMKHgktTP8We1SCoS47DrQ/edit?usp=sharing"",""จัดที่ดิน!Y16"")"),24)</f>
        <v>24</v>
      </c>
      <c r="K360" s="466">
        <f t="shared" ca="1" si="161"/>
        <v>21.818181818181817</v>
      </c>
      <c r="L360" s="163"/>
      <c r="M360" s="163"/>
      <c r="N360" s="163"/>
      <c r="O360" s="163"/>
      <c r="P360" s="163"/>
    </row>
    <row r="361" spans="1:1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IFERROR(__xludf.DUMMYFUNCTION("IMPORTRANGE(""https://docs.google.com/spreadsheets/d/1XWAQStnk-4SwqDmLtmXYiTMKHgktTP8We1SCoS47DrQ/edit?usp=sharing"",""จัดที่ดิน!Z16"")"),226.32)</f>
        <v>226.32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1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IFERROR(__xludf.DUMMYFUNCTION("IMPORTRANGE(""https://docs.google.com/spreadsheets/d/1QqKyyYR6Q21VydFLVH3TRQUabQu_ym0Zz7PgGX0-kHA/edit?usp=sharing"",""แผน!EP16"")"),110)</f>
        <v>110</v>
      </c>
      <c r="J362" s="270">
        <f ca="1">IFERROR(__xludf.DUMMYFUNCTION("IMPORTRANGE(""https://docs.google.com/spreadsheets/d/1XWAQStnk-4SwqDmLtmXYiTMKHgktTP8We1SCoS47DrQ/edit?usp=sharing"",""จัดที่ดิน!AA16"")"),0)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1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IFERROR(__xludf.DUMMYFUNCTION("IMPORTRANGE(""https://docs.google.com/spreadsheets/d/1XWAQStnk-4SwqDmLtmXYiTMKHgktTP8We1SCoS47DrQ/edit?usp=sharing"",""จัดที่ดิน!AB16"")"),0)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1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270</v>
      </c>
      <c r="J364" s="447">
        <f t="shared" ca="1" si="162"/>
        <v>28</v>
      </c>
      <c r="K364" s="448">
        <f t="shared" ca="1" si="161"/>
        <v>10.37037037037037</v>
      </c>
      <c r="L364" s="449"/>
      <c r="M364" s="449"/>
      <c r="N364" s="449"/>
      <c r="O364" s="449"/>
      <c r="P364" s="449"/>
    </row>
    <row r="365" spans="1:1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IFERROR(__xludf.DUMMYFUNCTION("IMPORTRANGE(""https://docs.google.com/spreadsheets/d/1QqKyyYR6Q21VydFLVH3TRQUabQu_ym0Zz7PgGX0-kHA/edit?usp=sharing"",""แผน!EJ16"")"),80)</f>
        <v>80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</row>
    <row r="366" spans="1:1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</row>
    <row r="367" spans="1:16" ht="19.5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1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IFERROR(__xludf.DUMMYFUNCTION("IMPORTRANGE(""https://docs.google.com/spreadsheets/d/1XWAQStnk-4SwqDmLtmXYiTMKHgktTP8We1SCoS47DrQ/edit?usp=sharing"",""จัดที่ดิน!E16"")"),34)</f>
        <v>34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1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IFERROR(__xludf.DUMMYFUNCTION("IMPORTRANGE(""https://docs.google.com/spreadsheets/d/1QqKyyYR6Q21VydFLVH3TRQUabQu_ym0Zz7PgGX0-kHA/edit?usp=sharing"",""แผน!EI16"")"),800)</f>
        <v>800</v>
      </c>
      <c r="J369" s="270">
        <f ca="1">IFERROR(__xludf.DUMMYFUNCTION("IMPORTRANGE(""https://docs.google.com/spreadsheets/d/1XWAQStnk-4SwqDmLtmXYiTMKHgktTP8We1SCoS47DrQ/edit?usp=sharing"",""จัดที่ดิน!F16"")"),266.92)</f>
        <v>266.92</v>
      </c>
      <c r="K369" s="466">
        <f t="shared" ca="1" si="163"/>
        <v>33.365000000000002</v>
      </c>
      <c r="L369" s="163"/>
      <c r="M369" s="163"/>
      <c r="N369" s="163"/>
      <c r="O369" s="163"/>
      <c r="P369" s="163"/>
    </row>
    <row r="370" spans="1:1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IFERROR(__xludf.DUMMYFUNCTION("IMPORTRANGE(""https://docs.google.com/spreadsheets/d/1QqKyyYR6Q21VydFLVH3TRQUabQu_ym0Zz7PgGX0-kHA/edit?usp=sharing"",""แผน!EJ16"")"),80)</f>
        <v>80</v>
      </c>
      <c r="J370" s="270">
        <f ca="1">IFERROR(__xludf.DUMMYFUNCTION("IMPORTRANGE(""https://docs.google.com/spreadsheets/d/1XWAQStnk-4SwqDmLtmXYiTMKHgktTP8We1SCoS47DrQ/edit?usp=sharing"",""จัดที่ดิน!G16"")"),24)</f>
        <v>24</v>
      </c>
      <c r="K370" s="466">
        <f t="shared" ca="1" si="163"/>
        <v>30</v>
      </c>
      <c r="L370" s="163"/>
      <c r="M370" s="163"/>
      <c r="N370" s="163"/>
      <c r="O370" s="163"/>
      <c r="P370" s="163"/>
    </row>
    <row r="371" spans="1:1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IFERROR(__xludf.DUMMYFUNCTION("IMPORTRANGE(""https://docs.google.com/spreadsheets/d/1XWAQStnk-4SwqDmLtmXYiTMKHgktTP8We1SCoS47DrQ/edit?usp=sharing"",""จัดที่ดิน!H16"")"),226.32)</f>
        <v>226.32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1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IFERROR(__xludf.DUMMYFUNCTION("IMPORTRANGE(""https://docs.google.com/spreadsheets/d/1QqKyyYR6Q21VydFLVH3TRQUabQu_ym0Zz7PgGX0-kHA/edit?usp=sharing"",""แผน!EJ16"")"),80)</f>
        <v>80</v>
      </c>
      <c r="J372" s="270">
        <f ca="1">IFERROR(__xludf.DUMMYFUNCTION("IMPORTRANGE(""https://docs.google.com/spreadsheets/d/1XWAQStnk-4SwqDmLtmXYiTMKHgktTP8We1SCoS47DrQ/edit?usp=sharing"",""จัดที่ดิน!I16"")"),0)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1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IFERROR(__xludf.DUMMYFUNCTION("IMPORTRANGE(""https://docs.google.com/spreadsheets/d/1XWAQStnk-4SwqDmLtmXYiTMKHgktTP8We1SCoS47DrQ/edit?usp=sharing"",""จัดที่ดิน!J16"")"),0)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1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IFERROR(__xludf.DUMMYFUNCTION("IMPORTRANGE(""https://docs.google.com/spreadsheets/d/1QqKyyYR6Q21VydFLVH3TRQUabQu_ym0Zz7PgGX0-kHA/edit?usp=sharing"",""แผน!EU16"")"),190)</f>
        <v>190</v>
      </c>
      <c r="J374" s="459">
        <f ca="1">J381</f>
        <v>28</v>
      </c>
      <c r="K374" s="460">
        <f t="shared" ca="1" si="163"/>
        <v>14.736842105263158</v>
      </c>
      <c r="L374" s="461"/>
      <c r="M374" s="461"/>
      <c r="N374" s="461"/>
      <c r="O374" s="461"/>
      <c r="P374" s="461"/>
    </row>
    <row r="375" spans="1:1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</row>
    <row r="376" spans="1:16" ht="19.5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1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IFERROR(__xludf.DUMMYFUNCTION("IMPORTRANGE(""https://docs.google.com/spreadsheets/d/1XWAQStnk-4SwqDmLtmXYiTMKHgktTP8We1SCoS47DrQ/edit?usp=sharing"",""จัดที่ดิน!AH16"")"),0)</f>
        <v>0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1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IFERROR(__xludf.DUMMYFUNCTION("IMPORTRANGE(""https://docs.google.com/spreadsheets/d/1QqKyyYR6Q21VydFLVH3TRQUabQu_ym0Zz7PgGX0-kHA/edit?usp=sharing"",""แผน!ET16"")"),300)</f>
        <v>300</v>
      </c>
      <c r="J378" s="270">
        <f ca="1">IFERROR(__xludf.DUMMYFUNCTION("IMPORTRANGE(""https://docs.google.com/spreadsheets/d/1XWAQStnk-4SwqDmLtmXYiTMKHgktTP8We1SCoS47DrQ/edit?usp=sharing"",""จัดที่ดิน!AI16"")"),0)</f>
        <v>0</v>
      </c>
      <c r="K378" s="466">
        <f t="shared" ca="1" si="164"/>
        <v>0</v>
      </c>
      <c r="L378" s="163"/>
      <c r="M378" s="163"/>
      <c r="N378" s="163"/>
      <c r="O378" s="163"/>
      <c r="P378" s="163"/>
    </row>
    <row r="379" spans="1:1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IFERROR(__xludf.DUMMYFUNCTION("IMPORTRANGE(""https://docs.google.com/spreadsheets/d/1QqKyyYR6Q21VydFLVH3TRQUabQu_ym0Zz7PgGX0-kHA/edit?usp=sharing"",""แผน!EU16"")"),190)</f>
        <v>190</v>
      </c>
      <c r="J379" s="270">
        <f ca="1">IFERROR(__xludf.DUMMYFUNCTION("IMPORTRANGE(""https://docs.google.com/spreadsheets/d/1XWAQStnk-4SwqDmLtmXYiTMKHgktTP8We1SCoS47DrQ/edit?usp=sharing"",""จัดที่ดิน!AJ16"")"),49)</f>
        <v>49</v>
      </c>
      <c r="K379" s="466">
        <f t="shared" ca="1" si="164"/>
        <v>25.789473684210527</v>
      </c>
      <c r="L379" s="163"/>
      <c r="M379" s="163"/>
      <c r="N379" s="163"/>
      <c r="O379" s="163"/>
      <c r="P379" s="163"/>
    </row>
    <row r="380" spans="1:1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IFERROR(__xludf.DUMMYFUNCTION("IMPORTRANGE(""https://docs.google.com/spreadsheets/d/1XWAQStnk-4SwqDmLtmXYiTMKHgktTP8We1SCoS47DrQ/edit?usp=sharing"",""จัดที่ดิน!AK16"")"),308.37)</f>
        <v>308.37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1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IFERROR(__xludf.DUMMYFUNCTION("IMPORTRANGE(""https://docs.google.com/spreadsheets/d/1QqKyyYR6Q21VydFLVH3TRQUabQu_ym0Zz7PgGX0-kHA/edit?usp=sharing"",""แผน!EU16"")"),190)</f>
        <v>190</v>
      </c>
      <c r="J381" s="270">
        <f ca="1">IFERROR(__xludf.DUMMYFUNCTION("IMPORTRANGE(""https://docs.google.com/spreadsheets/d/1XWAQStnk-4SwqDmLtmXYiTMKHgktTP8We1SCoS47DrQ/edit?usp=sharing"",""จัดที่ดิน!AL16"")"),28)</f>
        <v>28</v>
      </c>
      <c r="K381" s="466">
        <f t="shared" ca="1" si="164"/>
        <v>14.736842105263158</v>
      </c>
      <c r="L381" s="163"/>
      <c r="M381" s="163"/>
      <c r="N381" s="163"/>
      <c r="O381" s="163"/>
      <c r="P381" s="163"/>
    </row>
    <row r="382" spans="1:1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IFERROR(__xludf.DUMMYFUNCTION("IMPORTRANGE(""https://docs.google.com/spreadsheets/d/1XWAQStnk-4SwqDmLtmXYiTMKHgktTP8We1SCoS47DrQ/edit?usp=sharing"",""จัดที่ดิน!AM16"")"),155.28)</f>
        <v>155.28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1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16" ht="19.5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1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IFERROR(__xludf.DUMMYFUNCTION("IMPORTRANGE(""https://docs.google.com/spreadsheets/d/1QqKyyYR6Q21VydFLVH3TRQUabQu_ym0Zz7PgGX0-kHA/edit?usp=sharing"",""แผน!EW16"")"),10)</f>
        <v>10</v>
      </c>
      <c r="J385" s="469">
        <f ca="1">IFERROR(__xludf.DUMMYFUNCTION("IMPORTRANGE(""https://docs.google.com/spreadsheets/d/1XWAQStnk-4SwqDmLtmXYiTMKHgktTP8We1SCoS47DrQ/edit?usp=sharing"",""จัดที่ดิน!AP16"")"),0)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1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1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1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16" ht="19.5" hidden="1">
      <c r="A389" s="147"/>
      <c r="B389" s="148"/>
      <c r="C389" s="149" t="s">
        <v>16</v>
      </c>
      <c r="D389" s="84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</row>
    <row r="390" spans="1:1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</row>
    <row r="391" spans="1:1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</row>
    <row r="392" spans="1:1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</row>
    <row r="393" spans="1:1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</row>
    <row r="394" spans="1:1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IFERROR(__xludf.DUMMYFUNCTION("IMPORTRANGE(""https://docs.google.com/spreadsheets/d/1MeEWN-I1oV_STSDYn1IFDPWt_1FKiwhDph83XaGc0o0/edit?usp=sharing"",""งบพรบ!FG16"")"),0)</f>
        <v>0</v>
      </c>
      <c r="M394" s="93">
        <f ca="1">IFERROR(__xludf.DUMMYFUNCTION("IMPORTRANGE(""https://docs.google.com/spreadsheets/d/1MeEWN-I1oV_STSDYn1IFDPWt_1FKiwhDph83XaGc0o0/edit?usp=sharing"",""งบพรบ!FL16"")"),0)</f>
        <v>0</v>
      </c>
      <c r="N394" s="93">
        <f ca="1">IFERROR(__xludf.DUMMYFUNCTION("IMPORTRANGE(""https://docs.google.com/spreadsheets/d/1MeEWN-I1oV_STSDYn1IFDPWt_1FKiwhDph83XaGc0o0/edit?usp=sharing"",""งบพรบ!FN16"")"),0)</f>
        <v>0</v>
      </c>
      <c r="O394" s="93">
        <f t="shared" ca="1" si="167"/>
        <v>0</v>
      </c>
      <c r="P394" s="93">
        <f t="shared" ca="1" si="168"/>
        <v>0</v>
      </c>
    </row>
    <row r="395" spans="1:1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</row>
    <row r="396" spans="1:1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</row>
    <row r="397" spans="1:1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IFERROR(__xludf.DUMMYFUNCTION("IMPORTRANGE(""https://docs.google.com/spreadsheets/d/1MeEWN-I1oV_STSDYn1IFDPWt_1FKiwhDph83XaGc0o0/edit?usp=sharing"",""งบพรบ!FJ16"")"),0)</f>
        <v>0</v>
      </c>
      <c r="M397" s="93">
        <f ca="1">IFERROR(__xludf.DUMMYFUNCTION("IMPORTRANGE(""https://docs.google.com/spreadsheets/d/1MeEWN-I1oV_STSDYn1IFDPWt_1FKiwhDph83XaGc0o0/edit?usp=sharing"",""งบพรบ!FM16"")"),0)</f>
        <v>0</v>
      </c>
      <c r="N397" s="93">
        <f ca="1">IFERROR(__xludf.DUMMYFUNCTION("IMPORTRANGE(""https://docs.google.com/spreadsheets/d/1MeEWN-I1oV_STSDYn1IFDPWt_1FKiwhDph83XaGc0o0/edit?usp=sharing"",""งบพรบ!FO16"")"),0)</f>
        <v>0</v>
      </c>
      <c r="O397" s="93">
        <f t="shared" ca="1" si="167"/>
        <v>0</v>
      </c>
      <c r="P397" s="93">
        <f t="shared" ca="1" si="168"/>
        <v>0</v>
      </c>
    </row>
    <row r="398" spans="1:1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1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</row>
    <row r="400" spans="1:1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1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16" ht="19.5" hidden="1">
      <c r="A402" s="147"/>
      <c r="B402" s="148"/>
      <c r="C402" s="149" t="s">
        <v>16</v>
      </c>
      <c r="D402" s="84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</row>
    <row r="403" spans="1:1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</row>
    <row r="404" spans="1:1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</row>
    <row r="405" spans="1:1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</row>
    <row r="406" spans="1:1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</row>
    <row r="407" spans="1:1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IFERROR(__xludf.DUMMYFUNCTION("IMPORTRANGE(""https://docs.google.com/spreadsheets/d/1MeEWN-I1oV_STSDYn1IFDPWt_1FKiwhDph83XaGc0o0/edit?usp=sharing"",""งบพรบ!FQ16"")"),0)</f>
        <v>0</v>
      </c>
      <c r="M407" s="93">
        <f ca="1">IFERROR(__xludf.DUMMYFUNCTION("IMPORTRANGE(""https://docs.google.com/spreadsheets/d/1MeEWN-I1oV_STSDYn1IFDPWt_1FKiwhDph83XaGc0o0/edit?usp=sharing"",""งบพรบ!FV16"")"),0)</f>
        <v>0</v>
      </c>
      <c r="N407" s="93">
        <f ca="1">IFERROR(__xludf.DUMMYFUNCTION("IMPORTRANGE(""https://docs.google.com/spreadsheets/d/1MeEWN-I1oV_STSDYn1IFDPWt_1FKiwhDph83XaGc0o0/edit?usp=sharing"",""งบพรบ!FX16"")"),0)</f>
        <v>0</v>
      </c>
      <c r="O407" s="93">
        <f t="shared" ca="1" si="175"/>
        <v>0</v>
      </c>
      <c r="P407" s="93">
        <f t="shared" ca="1" si="176"/>
        <v>0</v>
      </c>
    </row>
    <row r="408" spans="1:1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</row>
    <row r="409" spans="1:1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</row>
    <row r="410" spans="1:1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IFERROR(__xludf.DUMMYFUNCTION("IMPORTRANGE(""https://docs.google.com/spreadsheets/d/1MeEWN-I1oV_STSDYn1IFDPWt_1FKiwhDph83XaGc0o0/edit?usp=sharing"",""งบพรบ!FT16"")"),0)</f>
        <v>0</v>
      </c>
      <c r="M410" s="93">
        <f ca="1">IFERROR(__xludf.DUMMYFUNCTION("IMPORTRANGE(""https://docs.google.com/spreadsheets/d/1MeEWN-I1oV_STSDYn1IFDPWt_1FKiwhDph83XaGc0o0/edit?usp=sharing"",""งบพรบ!FW16"")"),0)</f>
        <v>0</v>
      </c>
      <c r="N410" s="93">
        <f ca="1">IFERROR(__xludf.DUMMYFUNCTION("IMPORTRANGE(""https://docs.google.com/spreadsheets/d/1MeEWN-I1oV_STSDYn1IFDPWt_1FKiwhDph83XaGc0o0/edit?usp=sharing"",""งบพรบ!FY16"")"),0)</f>
        <v>0</v>
      </c>
      <c r="O410" s="93">
        <f t="shared" ca="1" si="175"/>
        <v>0</v>
      </c>
      <c r="P410" s="93">
        <f t="shared" ca="1" si="176"/>
        <v>0</v>
      </c>
    </row>
    <row r="411" spans="1:1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1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1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1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2653920</v>
      </c>
      <c r="M414" s="517">
        <f t="shared" si="181"/>
        <v>0</v>
      </c>
      <c r="N414" s="517">
        <f t="shared" si="181"/>
        <v>504898.49</v>
      </c>
      <c r="O414" s="517">
        <f ca="1">IF(L414&gt;0,N414*100/L414,0)</f>
        <v>19.024631111713994</v>
      </c>
      <c r="P414" s="517">
        <f>IF(M414&gt;0,N414*100/M414,0)</f>
        <v>0</v>
      </c>
    </row>
    <row r="415" spans="1:1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1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1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20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1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1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59743</v>
      </c>
      <c r="O419" s="155">
        <f t="shared" ref="O419:O424" ca="1" si="185">IF(L419&gt;0,N419*100/L419,0)</f>
        <v>75.95092804474956</v>
      </c>
      <c r="P419" s="155">
        <f t="shared" ref="P419:P424" si="186">IF(M419&gt;0,N419*100/M419,0)</f>
        <v>0</v>
      </c>
    </row>
    <row r="420" spans="1:1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</row>
    <row r="421" spans="1:1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59743</v>
      </c>
      <c r="O421" s="93">
        <f t="shared" ca="1" si="185"/>
        <v>75.95092804474956</v>
      </c>
      <c r="P421" s="93">
        <f t="shared" si="186"/>
        <v>0</v>
      </c>
    </row>
    <row r="422" spans="1:1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si="188"/>
        <v>0</v>
      </c>
      <c r="N422" s="466">
        <f t="shared" si="188"/>
        <v>59743</v>
      </c>
      <c r="O422" s="466">
        <f t="shared" ca="1" si="185"/>
        <v>75.95092804474956</v>
      </c>
      <c r="P422" s="466">
        <f t="shared" si="186"/>
        <v>0</v>
      </c>
    </row>
    <row r="423" spans="1:1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</row>
    <row r="424" spans="1:1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IFERROR(__xludf.DUMMYFUNCTION("IMPORTRANGE(""https://docs.google.com/spreadsheets/d/1QqKyyYR6Q21VydFLVH3TRQUabQu_ym0Zz7PgGX0-kHA/edit?usp=sharing"",""แผน!EY16"")"),78660)</f>
        <v>78660</v>
      </c>
      <c r="M424" s="93">
        <v>0</v>
      </c>
      <c r="N424" s="93">
        <f>N425+N426+N427+N428</f>
        <v>59743</v>
      </c>
      <c r="O424" s="93">
        <f t="shared" ca="1" si="185"/>
        <v>75.95092804474956</v>
      </c>
      <c r="P424" s="93">
        <f t="shared" si="186"/>
        <v>0</v>
      </c>
    </row>
    <row r="425" spans="1:1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f>17080+28960+300+2060</f>
        <v>48400</v>
      </c>
      <c r="O425" s="466"/>
      <c r="P425" s="466"/>
    </row>
    <row r="426" spans="1:1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>
        <v>0</v>
      </c>
      <c r="O426" s="466"/>
      <c r="P426" s="466"/>
    </row>
    <row r="427" spans="1:1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>
        <v>0</v>
      </c>
      <c r="O427" s="466"/>
      <c r="P427" s="466"/>
    </row>
    <row r="428" spans="1:1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f>8183+1440+1240+480</f>
        <v>11343</v>
      </c>
      <c r="O428" s="466"/>
      <c r="P428" s="466"/>
    </row>
    <row r="429" spans="1:1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</row>
    <row r="430" spans="1:1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</row>
    <row r="431" spans="1:1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</row>
    <row r="432" spans="1:1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</row>
    <row r="433" spans="1:1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20</v>
      </c>
      <c r="J433" s="64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</row>
    <row r="434" spans="1:1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t="shared" ref="I434:J434" ca="1" si="193">I438+I440</f>
        <v>1</v>
      </c>
      <c r="J434" s="648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</row>
    <row r="435" spans="1:1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IFERROR(__xludf.DUMMYFUNCTION("IMPORTRANGE(""https://docs.google.com/spreadsheets/d/1QqKyyYR6Q21VydFLVH3TRQUabQu_ym0Zz7PgGX0-kHA/edit?usp=sharing"",""แผน!FC16"")"),20)</f>
        <v>20</v>
      </c>
      <c r="J435" s="549">
        <v>20</v>
      </c>
      <c r="K435" s="466">
        <f t="shared" ca="1" si="192"/>
        <v>100</v>
      </c>
      <c r="L435" s="466"/>
      <c r="M435" s="466"/>
      <c r="N435" s="466"/>
      <c r="O435" s="466"/>
      <c r="P435" s="466"/>
    </row>
    <row r="436" spans="1:1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</row>
    <row r="437" spans="1:1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IFERROR(__xludf.DUMMYFUNCTION("IMPORTRANGE(""https://docs.google.com/spreadsheets/d/1QqKyyYR6Q21VydFLVH3TRQUabQu_ym0Zz7PgGX0-kHA/edit?usp=sharing"",""แผน!FD16"")"),0)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</row>
    <row r="438" spans="1:1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IFERROR(__xludf.DUMMYFUNCTION("IMPORTRANGE(""https://docs.google.com/spreadsheets/d/1QqKyyYR6Q21VydFLVH3TRQUabQu_ym0Zz7PgGX0-kHA/edit?usp=sharing"",""แผน!FE16"")"),0)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</row>
    <row r="439" spans="1:1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IFERROR(__xludf.DUMMYFUNCTION("IMPORTRANGE(""https://docs.google.com/spreadsheets/d/1QqKyyYR6Q21VydFLVH3TRQUabQu_ym0Zz7PgGX0-kHA/edit?usp=sharing"",""แผน!FF16"")"),20)</f>
        <v>20</v>
      </c>
      <c r="J439" s="549">
        <v>20</v>
      </c>
      <c r="K439" s="466">
        <f t="shared" ca="1" si="194"/>
        <v>100</v>
      </c>
      <c r="L439" s="466"/>
      <c r="M439" s="466"/>
      <c r="N439" s="466"/>
      <c r="O439" s="466"/>
      <c r="P439" s="466"/>
    </row>
    <row r="440" spans="1:1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IFERROR(__xludf.DUMMYFUNCTION("IMPORTRANGE(""https://docs.google.com/spreadsheets/d/1QqKyyYR6Q21VydFLVH3TRQUabQu_ym0Zz7PgGX0-kHA/edit?usp=sharing"",""แผน!FG16"")"),1)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</row>
    <row r="441" spans="1:1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IFERROR(__xludf.DUMMYFUNCTION("IMPORTRANGE(""https://docs.google.com/spreadsheets/d/1QqKyyYR6Q21VydFLVH3TRQUabQu_ym0Zz7PgGX0-kHA/edit?usp=sharing"",""แผน!FH16"")"),0)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</row>
    <row r="442" spans="1:1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40</v>
      </c>
      <c r="J442" s="555">
        <f t="shared" si="195"/>
        <v>20</v>
      </c>
      <c r="K442" s="556">
        <f t="shared" ca="1" si="194"/>
        <v>50</v>
      </c>
      <c r="L442" s="557"/>
      <c r="M442" s="557"/>
      <c r="N442" s="557"/>
      <c r="O442" s="557"/>
      <c r="P442" s="557"/>
    </row>
    <row r="443" spans="1:1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80</v>
      </c>
      <c r="J443" s="533">
        <f t="shared" si="196"/>
        <v>32</v>
      </c>
      <c r="K443" s="534">
        <f t="shared" ca="1" si="194"/>
        <v>40</v>
      </c>
      <c r="L443" s="535"/>
      <c r="M443" s="535"/>
      <c r="N443" s="535"/>
      <c r="O443" s="535"/>
      <c r="P443" s="535"/>
    </row>
    <row r="444" spans="1:16" ht="19.5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319880</v>
      </c>
      <c r="M444" s="195">
        <f t="shared" si="197"/>
        <v>0</v>
      </c>
      <c r="N444" s="195">
        <f t="shared" si="197"/>
        <v>84070</v>
      </c>
      <c r="O444" s="195">
        <f t="shared" ref="O444:O449" ca="1" si="198">IF(L444&gt;0,N444*100/L444,0)</f>
        <v>26.281730648993374</v>
      </c>
      <c r="P444" s="195">
        <f t="shared" ref="P444:P449" si="199">IF(M444&gt;0,N444*100/M444,0)</f>
        <v>0</v>
      </c>
    </row>
    <row r="445" spans="1:1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</row>
    <row r="446" spans="1:1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0"/>
        <v>319880</v>
      </c>
      <c r="M446" s="93">
        <f t="shared" si="200"/>
        <v>0</v>
      </c>
      <c r="N446" s="93">
        <f t="shared" si="200"/>
        <v>84070</v>
      </c>
      <c r="O446" s="93">
        <f t="shared" ca="1" si="198"/>
        <v>26.281730648993374</v>
      </c>
      <c r="P446" s="93">
        <f t="shared" si="199"/>
        <v>0</v>
      </c>
    </row>
    <row r="447" spans="1:16" ht="18.75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1">L448+L449</f>
        <v>319880</v>
      </c>
      <c r="M447" s="466">
        <f t="shared" si="201"/>
        <v>0</v>
      </c>
      <c r="N447" s="466">
        <f t="shared" si="201"/>
        <v>84070</v>
      </c>
      <c r="O447" s="466">
        <f t="shared" ca="1" si="198"/>
        <v>26.281730648993374</v>
      </c>
      <c r="P447" s="466">
        <f t="shared" si="199"/>
        <v>0</v>
      </c>
    </row>
    <row r="448" spans="1:1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</row>
    <row r="449" spans="1:1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IFERROR(__xludf.DUMMYFUNCTION("IMPORTRANGE(""https://docs.google.com/spreadsheets/d/1QqKyyYR6Q21VydFLVH3TRQUabQu_ym0Zz7PgGX0-kHA/edit?usp=sharing"",""แผน!FJ16"")"),319880)</f>
        <v>319880</v>
      </c>
      <c r="M449" s="93">
        <v>0</v>
      </c>
      <c r="N449" s="93">
        <f>N450+N451+N452+N453</f>
        <v>84070</v>
      </c>
      <c r="O449" s="93">
        <f t="shared" ca="1" si="198"/>
        <v>26.281730648993374</v>
      </c>
      <c r="P449" s="93">
        <f t="shared" si="199"/>
        <v>0</v>
      </c>
    </row>
    <row r="450" spans="1:16" ht="18.75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f>22120+300+4780</f>
        <v>27200</v>
      </c>
      <c r="O450" s="466"/>
      <c r="P450" s="466"/>
    </row>
    <row r="451" spans="1:16" ht="18.75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>
        <v>0</v>
      </c>
      <c r="O451" s="466"/>
      <c r="P451" s="466"/>
    </row>
    <row r="452" spans="1:16" ht="18.75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f>26000+13000+13000</f>
        <v>52000</v>
      </c>
      <c r="O452" s="466"/>
      <c r="P452" s="466"/>
    </row>
    <row r="453" spans="1:16" ht="18.75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f>2150+1480+1240</f>
        <v>4870</v>
      </c>
      <c r="O453" s="466"/>
      <c r="P453" s="466"/>
    </row>
    <row r="454" spans="1:16" ht="18.75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</row>
    <row r="455" spans="1:1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</row>
    <row r="456" spans="1:1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</row>
    <row r="457" spans="1:16" ht="19.5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</row>
    <row r="458" spans="1:1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</row>
    <row r="459" spans="1:1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</row>
    <row r="460" spans="1:16" ht="18.75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IFERROR(__xludf.DUMMYFUNCTION("IMPORTRANGE(""https://docs.google.com/spreadsheets/d/1QqKyyYR6Q21VydFLVH3TRQUabQu_ym0Zz7PgGX0-kHA/edit?usp=sharing"",""แผน!FN16"")"),40)</f>
        <v>40</v>
      </c>
      <c r="J460" s="215">
        <v>20</v>
      </c>
      <c r="K460" s="466">
        <f ca="1">IF(I460&gt;0,J460*100/I460,0)</f>
        <v>50</v>
      </c>
      <c r="L460" s="466"/>
      <c r="M460" s="466"/>
      <c r="N460" s="466"/>
      <c r="O460" s="466"/>
      <c r="P460" s="466"/>
    </row>
    <row r="461" spans="1:16" ht="18.75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</row>
    <row r="462" spans="1:16" ht="18.75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IFERROR(__xludf.DUMMYFUNCTION("IMPORTRANGE(""https://docs.google.com/spreadsheets/d/1QqKyyYR6Q21VydFLVH3TRQUabQu_ym0Zz7PgGX0-kHA/edit?usp=sharing"",""แผน!FO16"")"),80)</f>
        <v>80</v>
      </c>
      <c r="J462" s="215">
        <v>32</v>
      </c>
      <c r="K462" s="466">
        <f ca="1">IF(I462&gt;0,J462*100/I462,0)</f>
        <v>40</v>
      </c>
      <c r="L462" s="466"/>
      <c r="M462" s="466"/>
      <c r="N462" s="466"/>
      <c r="O462" s="466"/>
      <c r="P462" s="466"/>
    </row>
    <row r="463" spans="1:16" ht="18.75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IFERROR(__xludf.DUMMYFUNCTION("IMPORTRANGE(""https://docs.google.com/spreadsheets/d/1QqKyyYR6Q21VydFLVH3TRQUabQu_ym0Zz7PgGX0-kHA/edit?usp=sharing"",""แผน!FO16"")"),80)</f>
        <v>80</v>
      </c>
      <c r="J463" s="215">
        <v>0</v>
      </c>
      <c r="K463" s="466"/>
      <c r="L463" s="466"/>
      <c r="M463" s="466"/>
      <c r="N463" s="466"/>
      <c r="O463" s="466"/>
      <c r="P463" s="466"/>
    </row>
    <row r="464" spans="1:16" ht="19.5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IFERROR(__xludf.DUMMYFUNCTION("IMPORTRANGE(""https://docs.google.com/spreadsheets/d/1QqKyyYR6Q21VydFLVH3TRQUabQu_ym0Zz7PgGX0-kHA/edit?usp=sharing"",""แผน!FN16"")"),40)</f>
        <v>40</v>
      </c>
      <c r="J464" s="215">
        <v>0</v>
      </c>
      <c r="K464" s="466"/>
      <c r="L464" s="466"/>
      <c r="M464" s="466"/>
      <c r="N464" s="466"/>
      <c r="O464" s="466"/>
      <c r="P464" s="466"/>
    </row>
    <row r="465" spans="1:1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IFERROR(__xludf.DUMMYFUNCTION("IMPORTRANGE(""https://docs.google.com/spreadsheets/d/1QqKyyYR6Q21VydFLVH3TRQUabQu_ym0Zz7PgGX0-kHA/edit?usp=sharing"",""แผน!FX16"")"),131)</f>
        <v>131</v>
      </c>
      <c r="J465" s="555">
        <f>J485+J489+J492</f>
        <v>131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</row>
    <row r="466" spans="1:1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IFERROR(__xludf.DUMMYFUNCTION("IMPORTRANGE(""https://docs.google.com/spreadsheets/d/1QqKyyYR6Q21VydFLVH3TRQUabQu_ym0Zz7PgGX0-kHA/edit?usp=sharing"",""แผน!FW16"")"),1300)</f>
        <v>1300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</row>
    <row r="467" spans="1:1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1171728</v>
      </c>
      <c r="M467" s="195">
        <f t="shared" si="206"/>
        <v>0</v>
      </c>
      <c r="N467" s="195">
        <f t="shared" si="206"/>
        <v>217143</v>
      </c>
      <c r="O467" s="195">
        <f t="shared" ref="O467:O472" ca="1" si="207">IF(L467&gt;0,N467*100/L467,0)</f>
        <v>18.531860636598253</v>
      </c>
      <c r="P467" s="195">
        <f t="shared" ref="P467:P472" si="208">IF(M467&gt;0,N467*100/M467,0)</f>
        <v>0</v>
      </c>
    </row>
    <row r="468" spans="1:1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</row>
    <row r="469" spans="1:1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09"/>
        <v>1171728</v>
      </c>
      <c r="M469" s="93">
        <f t="shared" si="209"/>
        <v>0</v>
      </c>
      <c r="N469" s="93">
        <f t="shared" si="209"/>
        <v>217143</v>
      </c>
      <c r="O469" s="93">
        <f t="shared" ca="1" si="207"/>
        <v>18.531860636598253</v>
      </c>
      <c r="P469" s="93">
        <f t="shared" si="208"/>
        <v>0</v>
      </c>
    </row>
    <row r="470" spans="1:1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0">L471+L472</f>
        <v>1171728</v>
      </c>
      <c r="M470" s="466">
        <f t="shared" si="210"/>
        <v>0</v>
      </c>
      <c r="N470" s="466">
        <f t="shared" si="210"/>
        <v>217143</v>
      </c>
      <c r="O470" s="466">
        <f t="shared" ca="1" si="207"/>
        <v>18.531860636598253</v>
      </c>
      <c r="P470" s="466">
        <f t="shared" si="208"/>
        <v>0</v>
      </c>
    </row>
    <row r="471" spans="1:1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</row>
    <row r="472" spans="1:1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IFERROR(__xludf.DUMMYFUNCTION("IMPORTRANGE(""https://docs.google.com/spreadsheets/d/1QqKyyYR6Q21VydFLVH3TRQUabQu_ym0Zz7PgGX0-kHA/edit?usp=sharing"",""แผน!FS16"")"),1171728)</f>
        <v>1171728</v>
      </c>
      <c r="M472" s="93">
        <v>0</v>
      </c>
      <c r="N472" s="93">
        <f>N473+N474+N475+N476</f>
        <v>217143</v>
      </c>
      <c r="O472" s="93">
        <f t="shared" ca="1" si="207"/>
        <v>18.531860636598253</v>
      </c>
      <c r="P472" s="93">
        <f t="shared" si="208"/>
        <v>0</v>
      </c>
    </row>
    <row r="473" spans="1:1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>
        <f>69014+7020+1080+8248+3981+34700+2250+15210</f>
        <v>141503</v>
      </c>
      <c r="O473" s="466"/>
      <c r="P473" s="466"/>
    </row>
    <row r="474" spans="1:1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>
        <v>0</v>
      </c>
      <c r="O474" s="466"/>
      <c r="P474" s="466"/>
    </row>
    <row r="475" spans="1:1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f>39000+13000</f>
        <v>52000</v>
      </c>
      <c r="O475" s="466"/>
      <c r="P475" s="466"/>
    </row>
    <row r="476" spans="1:1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f>19220+5060+160-800</f>
        <v>23640</v>
      </c>
      <c r="O476" s="466"/>
      <c r="P476" s="466"/>
    </row>
    <row r="477" spans="1:1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</row>
    <row r="478" spans="1:1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</row>
    <row r="479" spans="1:1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</row>
    <row r="480" spans="1:1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</row>
    <row r="481" spans="1:1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</row>
    <row r="482" spans="1:1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</row>
    <row r="483" spans="1:1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IFERROR(__xludf.DUMMYFUNCTION("IMPORTRANGE(""https://docs.google.com/spreadsheets/d/1QqKyyYR6Q21VydFLVH3TRQUabQu_ym0Zz7PgGX0-kHA/edit?usp=sharing"",""แผน!FY16"")"),1170)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</row>
    <row r="484" spans="1:1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125</v>
      </c>
      <c r="K484" s="466"/>
      <c r="L484" s="466"/>
      <c r="M484" s="466"/>
      <c r="N484" s="466"/>
      <c r="O484" s="466"/>
      <c r="P484" s="466"/>
    </row>
    <row r="485" spans="1:1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IFERROR(__xludf.DUMMYFUNCTION("IMPORTRANGE(""https://docs.google.com/spreadsheets/d/1QqKyyYR6Q21VydFLVH3TRQUabQu_ym0Zz7PgGX0-kHA/edit?usp=sharing"",""แผน!FZ16"")"),117)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</row>
    <row r="486" spans="1:1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</row>
    <row r="487" spans="1:1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IFERROR(__xludf.DUMMYFUNCTION("IMPORTRANGE(""https://docs.google.com/spreadsheets/d/1QqKyyYR6Q21VydFLVH3TRQUabQu_ym0Zz7PgGX0-kHA/edit?usp=sharing"",""แผน!GA16"")"),130)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</row>
    <row r="488" spans="1:1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25</v>
      </c>
      <c r="K488" s="466"/>
      <c r="L488" s="466"/>
      <c r="M488" s="466"/>
      <c r="N488" s="466"/>
      <c r="O488" s="466"/>
      <c r="P488" s="466"/>
    </row>
    <row r="489" spans="1:1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IFERROR(__xludf.DUMMYFUNCTION("IMPORTRANGE(""https://docs.google.com/spreadsheets/d/1QqKyyYR6Q21VydFLVH3TRQUabQu_ym0Zz7PgGX0-kHA/edit?usp=sharing"",""แผน!GB16"")"),13)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</row>
    <row r="490" spans="1:1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</row>
    <row r="491" spans="1:1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</row>
    <row r="492" spans="1:1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IFERROR(__xludf.DUMMYFUNCTION("IMPORTRANGE(""https://docs.google.com/spreadsheets/d/1QqKyyYR6Q21VydFLVH3TRQUabQu_ym0Zz7PgGX0-kHA/edit?usp=sharing"",""แผน!GC16"")"),1)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</row>
    <row r="493" spans="1:1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</row>
    <row r="494" spans="1:1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</row>
    <row r="495" spans="1:1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IFERROR(__xludf.DUMMYFUNCTION("IMPORTRANGE(""https://docs.google.com/spreadsheets/d/1QqKyyYR6Q21VydFLVH3TRQUabQu_ym0Zz7PgGX0-kHA/edit?usp=sharing"",""แผน!FY16"")"),1170)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</row>
    <row r="496" spans="1:1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</row>
    <row r="497" spans="1:1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</row>
    <row r="498" spans="1:1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IFERROR(__xludf.DUMMYFUNCTION("IMPORTRANGE(""https://docs.google.com/spreadsheets/d/1QqKyyYR6Q21VydFLVH3TRQUabQu_ym0Zz7PgGX0-kHA/edit?usp=sharing"",""แผน!GA16"")"),130)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</row>
    <row r="499" spans="1:1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</row>
    <row r="500" spans="1:1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</row>
    <row r="501" spans="1:1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</row>
    <row r="502" spans="1:1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6">L503+L504</f>
        <v>0</v>
      </c>
      <c r="M502" s="614">
        <f t="shared" si="216"/>
        <v>0</v>
      </c>
      <c r="N502" s="614">
        <f t="shared" si="216"/>
        <v>0</v>
      </c>
      <c r="O502" s="614">
        <f t="shared" ref="O502:O507" si="217">IF(L502&gt;0,N502*100/L502,0)</f>
        <v>0</v>
      </c>
      <c r="P502" s="614">
        <f t="shared" ref="P502:P507" si="218">IF(M502&gt;0,N502*100/M502,0)</f>
        <v>0</v>
      </c>
    </row>
    <row r="503" spans="1:1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</row>
    <row r="504" spans="1:1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</row>
    <row r="505" spans="1:16" ht="18.75" hidden="1">
      <c r="A505" s="564"/>
      <c r="B505" s="572"/>
      <c r="C505" s="726"/>
      <c r="D505" s="853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</row>
    <row r="506" spans="1:1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</row>
    <row r="507" spans="1:1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</row>
    <row r="508" spans="1:1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</row>
    <row r="509" spans="1:1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</row>
    <row r="510" spans="1:1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</row>
    <row r="511" spans="1:1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</row>
    <row r="512" spans="1:16" ht="18.75" hidden="1">
      <c r="A512" s="564"/>
      <c r="B512" s="572"/>
      <c r="C512" s="572"/>
      <c r="D512" s="853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</row>
    <row r="513" spans="1:1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</row>
    <row r="514" spans="1:1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</row>
    <row r="515" spans="1:1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</row>
    <row r="516" spans="1:1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</row>
    <row r="517" spans="1:1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4"/>
        <v>0</v>
      </c>
      <c r="L517" s="167"/>
      <c r="M517" s="167"/>
      <c r="N517" s="167"/>
      <c r="O517" s="167"/>
      <c r="P517" s="167"/>
    </row>
    <row r="518" spans="1:1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</row>
    <row r="519" spans="1:1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</row>
    <row r="520" spans="1:1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16" ht="19.5" hidden="1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</row>
    <row r="522" spans="1:16" ht="19.5" hidden="1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5">I537</f>
        <v>0</v>
      </c>
      <c r="J522" s="675">
        <f t="shared" ca="1" si="225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</row>
    <row r="523" spans="1:16" ht="19.5" hidden="1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</row>
    <row r="524" spans="1:1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</row>
    <row r="525" spans="1:1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</row>
    <row r="526" spans="1:16" ht="18.75" hidden="1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</row>
    <row r="527" spans="1:1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</row>
    <row r="528" spans="1:1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IFERROR(__xludf.DUMMYFUNCTION("IMPORTRANGE(""https://docs.google.com/spreadsheets/d/1QqKyyYR6Q21VydFLVH3TRQUabQu_ym0Zz7PgGX0-kHA/edit?usp=sharing"",""แผน!GQ16"")"),0)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</row>
    <row r="529" spans="1:16" ht="18.75" hidden="1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0</v>
      </c>
      <c r="O529" s="466"/>
      <c r="P529" s="466"/>
    </row>
    <row r="530" spans="1:16" ht="18.75" hidden="1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</row>
    <row r="531" spans="1:16" ht="18.75" hidden="1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</row>
    <row r="532" spans="1:16" ht="18.75" hidden="1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0</v>
      </c>
      <c r="O532" s="466"/>
      <c r="P532" s="466"/>
    </row>
    <row r="533" spans="1:16" ht="18.75" hidden="1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</row>
    <row r="534" spans="1:1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</row>
    <row r="535" spans="1:1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</row>
    <row r="536" spans="1:16" ht="19.5" hidden="1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</row>
    <row r="537" spans="1:16" ht="19.5" hidden="1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IFERROR(__xludf.DUMMYFUNCTION("IMPORTRANGE(""https://docs.google.com/spreadsheets/d/1QqKyyYR6Q21VydFLVH3TRQUabQu_ym0Zz7PgGX0-kHA/edit?usp=sharing"",""แผน!GU16"")"),0)</f>
        <v>0</v>
      </c>
      <c r="J537" s="648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</row>
    <row r="538" spans="1:16" ht="18.75" hidden="1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IFERROR(__xludf.DUMMYFUNCTION("IMPORTRANGE(""https://docs.google.com/spreadsheets/d/1QqKyyYR6Q21VydFLVH3TRQUabQu_ym0Zz7PgGX0-kHA/edit?usp=sharing"",""แผน!GV16"")"),0)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</row>
    <row r="539" spans="1:16" ht="18.75" hidden="1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IFERROR(__xludf.DUMMYFUNCTION("IMPORTRANGE(""https://docs.google.com/spreadsheets/d/1QqKyyYR6Q21VydFLVH3TRQUabQu_ym0Zz7PgGX0-kHA/edit?usp=sharing"",""แผน!GW16"")"),0)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</row>
    <row r="540" spans="1:16" ht="18.75" hidden="1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IFERROR(__xludf.DUMMYFUNCTION("IMPORTRANGE(""https://docs.google.com/spreadsheets/d/1QqKyyYR6Q21VydFLVH3TRQUabQu_ym0Zz7PgGX0-kHA/edit?usp=sharing"",""แผน!GX16"")"),0)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</row>
    <row r="541" spans="1:16" ht="18.75" hidden="1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IFERROR(__xludf.DUMMYFUNCTION("IMPORTRANGE(""https://docs.google.com/spreadsheets/d/1QqKyyYR6Q21VydFLVH3TRQUabQu_ym0Zz7PgGX0-kHA/edit?usp=sharing"",""แผน!GY16"")"),0)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</row>
    <row r="542" spans="1:16" ht="18.75" hidden="1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IFERROR(__xludf.DUMMYFUNCTION("IMPORTRANGE(""https://docs.google.com/spreadsheets/d/1QqKyyYR6Q21VydFLVH3TRQUabQu_ym0Zz7PgGX0-kHA/edit?usp=sharing"",""แผน!GZ16"")"),0)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</row>
    <row r="543" spans="1:1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5">I559</f>
        <v>7071</v>
      </c>
      <c r="J543" s="654">
        <f t="shared" si="235"/>
        <v>0</v>
      </c>
      <c r="K543" s="655">
        <f t="shared" ca="1" si="234"/>
        <v>0</v>
      </c>
      <c r="L543" s="637"/>
      <c r="M543" s="637"/>
      <c r="N543" s="637"/>
      <c r="O543" s="637"/>
      <c r="P543" s="637"/>
    </row>
    <row r="544" spans="1:1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6">L545+L546</f>
        <v>695417</v>
      </c>
      <c r="M544" s="155">
        <f t="shared" si="236"/>
        <v>0</v>
      </c>
      <c r="N544" s="155">
        <f t="shared" si="236"/>
        <v>127728.05</v>
      </c>
      <c r="O544" s="155">
        <f t="shared" ref="O544:O549" ca="1" si="237">IF(L544&gt;0,N544*100/L544,0)</f>
        <v>18.367116420795004</v>
      </c>
      <c r="P544" s="155">
        <f t="shared" ref="P544:P549" si="238">IF(M544&gt;0,N544*100/M544,0)</f>
        <v>0</v>
      </c>
    </row>
    <row r="545" spans="1:1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</row>
    <row r="546" spans="1:1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39"/>
        <v>695417</v>
      </c>
      <c r="M546" s="93">
        <f t="shared" si="240"/>
        <v>0</v>
      </c>
      <c r="N546" s="93">
        <f t="shared" si="240"/>
        <v>127728.05</v>
      </c>
      <c r="O546" s="93">
        <f t="shared" ca="1" si="237"/>
        <v>18.367116420795004</v>
      </c>
      <c r="P546" s="93">
        <f t="shared" si="238"/>
        <v>0</v>
      </c>
    </row>
    <row r="547" spans="1:1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1">L548+L549</f>
        <v>695417</v>
      </c>
      <c r="M547" s="466">
        <f t="shared" si="241"/>
        <v>0</v>
      </c>
      <c r="N547" s="466">
        <f t="shared" si="241"/>
        <v>127728.05</v>
      </c>
      <c r="O547" s="466">
        <f t="shared" ca="1" si="237"/>
        <v>18.367116420795004</v>
      </c>
      <c r="P547" s="466">
        <f t="shared" si="238"/>
        <v>0</v>
      </c>
    </row>
    <row r="548" spans="1:1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</row>
    <row r="549" spans="1:1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IFERROR(__xludf.DUMMYFUNCTION("IMPORTRANGE(""https://docs.google.com/spreadsheets/d/1QqKyyYR6Q21VydFLVH3TRQUabQu_ym0Zz7PgGX0-kHA/edit?usp=sharing"",""แผน!HB16"")"),695417)</f>
        <v>695417</v>
      </c>
      <c r="M549" s="93">
        <v>0</v>
      </c>
      <c r="N549" s="93">
        <f>N550+N551+N552+N553+N554</f>
        <v>127728.05</v>
      </c>
      <c r="O549" s="93">
        <f t="shared" ca="1" si="237"/>
        <v>18.367116420795004</v>
      </c>
      <c r="P549" s="93">
        <f t="shared" si="238"/>
        <v>0</v>
      </c>
    </row>
    <row r="550" spans="1:1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801">
        <v>0</v>
      </c>
      <c r="O550" s="466"/>
      <c r="P550" s="466"/>
    </row>
    <row r="551" spans="1:1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801">
        <v>0</v>
      </c>
      <c r="O551" s="466"/>
      <c r="P551" s="466"/>
    </row>
    <row r="552" spans="1:1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801">
        <f>26000+9645.05+13000</f>
        <v>48645.05</v>
      </c>
      <c r="O552" s="466"/>
      <c r="P552" s="466"/>
    </row>
    <row r="553" spans="1:1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801">
        <f>46018+4405+1000+18440+9220</f>
        <v>79083</v>
      </c>
      <c r="O553" s="466"/>
      <c r="P553" s="466"/>
    </row>
    <row r="554" spans="1:1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>
        <v>0</v>
      </c>
      <c r="O554" s="466"/>
      <c r="P554" s="466"/>
    </row>
    <row r="555" spans="1:1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</row>
    <row r="556" spans="1:1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</row>
    <row r="557" spans="1:1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</row>
    <row r="558" spans="1:1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</row>
    <row r="559" spans="1:1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5">I576</f>
        <v>7071</v>
      </c>
      <c r="J559" s="675">
        <f t="shared" si="245"/>
        <v>0</v>
      </c>
      <c r="K559" s="644">
        <f t="shared" ref="K559:K561" ca="1" si="246">IF(I559&gt;0,J559*100/I559,0)</f>
        <v>0</v>
      </c>
      <c r="L559" s="645"/>
      <c r="M559" s="645"/>
      <c r="N559" s="645"/>
      <c r="O559" s="645"/>
      <c r="P559" s="645"/>
    </row>
    <row r="560" spans="1:16" ht="19.5">
      <c r="A560" s="573"/>
      <c r="B560" s="585"/>
      <c r="C560" s="592" t="s">
        <v>235</v>
      </c>
      <c r="D560" s="585"/>
      <c r="E560" s="593"/>
      <c r="F560" s="593"/>
      <c r="G560" s="729"/>
      <c r="H560" s="734" t="s">
        <v>46</v>
      </c>
      <c r="I560" s="193">
        <f ca="1">IFERROR(__xludf.DUMMYFUNCTION("IMPORTRANGE(""https://docs.google.com/spreadsheets/d/1QqKyyYR6Q21VydFLVH3TRQUabQu_ym0Zz7PgGX0-kHA/edit?usp=sharing"",""แผน!HH16"")"),7071)</f>
        <v>7071</v>
      </c>
      <c r="J560" s="193">
        <f t="shared" ref="J560:J561" si="247">J562+J564+J566</f>
        <v>7260.24</v>
      </c>
      <c r="K560" s="380">
        <f t="shared" ca="1" si="246"/>
        <v>102.67628341111582</v>
      </c>
      <c r="L560" s="163"/>
      <c r="M560" s="163"/>
      <c r="N560" s="163"/>
      <c r="O560" s="163"/>
      <c r="P560" s="163"/>
    </row>
    <row r="561" spans="1:16" ht="19.5">
      <c r="A561" s="573"/>
      <c r="B561" s="585"/>
      <c r="C561" s="585"/>
      <c r="D561" s="593"/>
      <c r="E561" s="593"/>
      <c r="F561" s="593"/>
      <c r="G561" s="729"/>
      <c r="H561" s="734" t="s">
        <v>34</v>
      </c>
      <c r="I561" s="193">
        <f ca="1">IFERROR(__xludf.DUMMYFUNCTION("IMPORTRANGE(""https://docs.google.com/spreadsheets/d/1QqKyyYR6Q21VydFLVH3TRQUabQu_ym0Zz7PgGX0-kHA/edit?usp=sharing"",""แผน!HG16"")"),1982)</f>
        <v>1982</v>
      </c>
      <c r="J561" s="193">
        <f t="shared" si="247"/>
        <v>1982</v>
      </c>
      <c r="K561" s="380">
        <f t="shared" ca="1" si="246"/>
        <v>100</v>
      </c>
      <c r="L561" s="163"/>
      <c r="M561" s="163"/>
      <c r="N561" s="163"/>
      <c r="O561" s="163"/>
      <c r="P561" s="163"/>
    </row>
    <row r="562" spans="1:16" ht="18.75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v>5930.36</v>
      </c>
      <c r="K562" s="163"/>
      <c r="L562" s="163"/>
      <c r="M562" s="163"/>
      <c r="N562" s="163"/>
      <c r="O562" s="163"/>
      <c r="P562" s="163"/>
    </row>
    <row r="563" spans="1:16" ht="18.75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v>1657</v>
      </c>
      <c r="K563" s="163"/>
      <c r="L563" s="163"/>
      <c r="M563" s="163"/>
      <c r="N563" s="163"/>
      <c r="O563" s="163"/>
      <c r="P563" s="163"/>
    </row>
    <row r="564" spans="1:16" ht="18.75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v>930.34</v>
      </c>
      <c r="K564" s="163"/>
      <c r="L564" s="163"/>
      <c r="M564" s="163"/>
      <c r="N564" s="163"/>
      <c r="O564" s="163"/>
      <c r="P564" s="163"/>
    </row>
    <row r="565" spans="1:16" ht="18.75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v>218</v>
      </c>
      <c r="K565" s="163"/>
      <c r="L565" s="163"/>
      <c r="M565" s="163"/>
      <c r="N565" s="163"/>
      <c r="O565" s="163"/>
      <c r="P565" s="163"/>
    </row>
    <row r="566" spans="1:16" ht="18.75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v>399.54</v>
      </c>
      <c r="K566" s="163"/>
      <c r="L566" s="163"/>
      <c r="M566" s="163"/>
      <c r="N566" s="163"/>
      <c r="O566" s="163"/>
      <c r="P566" s="163"/>
    </row>
    <row r="567" spans="1:16" ht="18.75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v>107</v>
      </c>
      <c r="K567" s="163"/>
      <c r="L567" s="163"/>
      <c r="M567" s="163"/>
      <c r="N567" s="163"/>
      <c r="O567" s="163"/>
      <c r="P567" s="163"/>
    </row>
    <row r="568" spans="1:16" ht="19.5">
      <c r="A568" s="573"/>
      <c r="B568" s="585"/>
      <c r="C568" s="592" t="s">
        <v>239</v>
      </c>
      <c r="D568" s="593"/>
      <c r="E568" s="593"/>
      <c r="F568" s="593"/>
      <c r="G568" s="729"/>
      <c r="H568" s="734" t="s">
        <v>46</v>
      </c>
      <c r="I568" s="193">
        <f ca="1">IFERROR(__xludf.DUMMYFUNCTION("IMPORTRANGE(""https://docs.google.com/spreadsheets/d/1QqKyyYR6Q21VydFLVH3TRQUabQu_ym0Zz7PgGX0-kHA/edit?usp=sharing"",""แผน!HH16"")"),7071)</f>
        <v>7071</v>
      </c>
      <c r="J568" s="648">
        <f t="shared" ref="J568:J569" si="248">J570+J572+J574</f>
        <v>159.01000000000002</v>
      </c>
      <c r="K568" s="380">
        <f t="shared" ref="K568:K569" ca="1" si="249">IF(I568&gt;0,J568*100/I568,0)</f>
        <v>2.2487625512657337</v>
      </c>
      <c r="L568" s="163"/>
      <c r="M568" s="163"/>
      <c r="N568" s="163"/>
      <c r="O568" s="163"/>
      <c r="P568" s="163"/>
    </row>
    <row r="569" spans="1:16" ht="19.5">
      <c r="A569" s="573"/>
      <c r="B569" s="585"/>
      <c r="C569" s="585"/>
      <c r="D569" s="585"/>
      <c r="E569" s="593"/>
      <c r="F569" s="593"/>
      <c r="G569" s="729"/>
      <c r="H569" s="734" t="s">
        <v>34</v>
      </c>
      <c r="I569" s="193">
        <f ca="1">IFERROR(__xludf.DUMMYFUNCTION("IMPORTRANGE(""https://docs.google.com/spreadsheets/d/1QqKyyYR6Q21VydFLVH3TRQUabQu_ym0Zz7PgGX0-kHA/edit?usp=sharing"",""แผน!HG16"")"),1982)</f>
        <v>1982</v>
      </c>
      <c r="J569" s="648">
        <f t="shared" si="248"/>
        <v>51</v>
      </c>
      <c r="K569" s="380">
        <f t="shared" ca="1" si="249"/>
        <v>2.5731584258324922</v>
      </c>
      <c r="L569" s="163"/>
      <c r="M569" s="163"/>
      <c r="N569" s="163"/>
      <c r="O569" s="163"/>
      <c r="P569" s="163"/>
    </row>
    <row r="570" spans="1:16" ht="18.75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153.02000000000001</v>
      </c>
      <c r="K570" s="163"/>
      <c r="L570" s="163"/>
      <c r="M570" s="163"/>
      <c r="N570" s="163"/>
      <c r="O570" s="163"/>
      <c r="P570" s="163"/>
    </row>
    <row r="571" spans="1:16" ht="18.75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48</v>
      </c>
      <c r="K571" s="163"/>
      <c r="L571" s="163"/>
      <c r="M571" s="163"/>
      <c r="N571" s="163"/>
      <c r="O571" s="163"/>
      <c r="P571" s="163"/>
    </row>
    <row r="572" spans="1:16" ht="18.75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</row>
    <row r="573" spans="1:16" ht="18.75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</row>
    <row r="574" spans="1:16" ht="18.75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5.99</v>
      </c>
      <c r="K574" s="163"/>
      <c r="L574" s="163"/>
      <c r="M574" s="163"/>
      <c r="N574" s="163"/>
      <c r="O574" s="163"/>
      <c r="P574" s="163"/>
    </row>
    <row r="575" spans="1:16" ht="18.75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3</v>
      </c>
      <c r="K575" s="163"/>
      <c r="L575" s="163"/>
      <c r="M575" s="163"/>
      <c r="N575" s="163"/>
      <c r="O575" s="163"/>
      <c r="P575" s="163"/>
    </row>
    <row r="576" spans="1:16" ht="19.5">
      <c r="A576" s="573"/>
      <c r="B576" s="585"/>
      <c r="C576" s="592" t="s">
        <v>243</v>
      </c>
      <c r="D576" s="585"/>
      <c r="E576" s="585"/>
      <c r="F576" s="593"/>
      <c r="G576" s="729"/>
      <c r="H576" s="734" t="s">
        <v>46</v>
      </c>
      <c r="I576" s="193">
        <f ca="1">IFERROR(__xludf.DUMMYFUNCTION("IMPORTRANGE(""https://docs.google.com/spreadsheets/d/1QqKyyYR6Q21VydFLVH3TRQUabQu_ym0Zz7PgGX0-kHA/edit?usp=sharing"",""แผน!HH16"")"),7071)</f>
        <v>7071</v>
      </c>
      <c r="J576" s="648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</row>
    <row r="577" spans="1:16" ht="19.5">
      <c r="A577" s="573"/>
      <c r="B577" s="585"/>
      <c r="C577" s="585"/>
      <c r="D577" s="585"/>
      <c r="E577" s="593"/>
      <c r="F577" s="593"/>
      <c r="G577" s="729"/>
      <c r="H577" s="734" t="s">
        <v>34</v>
      </c>
      <c r="I577" s="193">
        <f ca="1">IFERROR(__xludf.DUMMYFUNCTION("IMPORTRANGE(""https://docs.google.com/spreadsheets/d/1QqKyyYR6Q21VydFLVH3TRQUabQu_ym0Zz7PgGX0-kHA/edit?usp=sharing"",""แผน!HG16"")"),1982)</f>
        <v>1982</v>
      </c>
      <c r="J577" s="648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</row>
    <row r="578" spans="1:16" ht="18.75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</row>
    <row r="579" spans="1:16" ht="18.75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</row>
    <row r="580" spans="1:16" ht="18.75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</row>
    <row r="581" spans="1:16" ht="18.75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</row>
    <row r="582" spans="1:16" ht="19.5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2">J584+J586</f>
        <v>0</v>
      </c>
      <c r="K582" s="380"/>
      <c r="L582" s="163"/>
      <c r="M582" s="163"/>
      <c r="N582" s="163"/>
      <c r="O582" s="163"/>
      <c r="P582" s="163"/>
    </row>
    <row r="583" spans="1:16" ht="19.5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2"/>
        <v>0</v>
      </c>
      <c r="K583" s="380"/>
      <c r="L583" s="163"/>
      <c r="M583" s="163"/>
      <c r="N583" s="163"/>
      <c r="O583" s="163"/>
      <c r="P583" s="163"/>
    </row>
    <row r="584" spans="1:16" ht="18.75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</row>
    <row r="585" spans="1:16" ht="18.75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</row>
    <row r="586" spans="1:16" ht="18.75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</row>
    <row r="587" spans="1:16" ht="18.75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</row>
    <row r="588" spans="1:16" ht="18.75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</row>
    <row r="589" spans="1:16" ht="18.75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</row>
    <row r="590" spans="1:16" ht="18.75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</row>
    <row r="591" spans="1:1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</row>
    <row r="592" spans="1:1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3">I593</f>
        <v>6733.58</v>
      </c>
      <c r="J592" s="675">
        <f t="shared" si="253"/>
        <v>0</v>
      </c>
      <c r="K592" s="644">
        <f t="shared" ref="K592:K594" ca="1" si="254">IF(I592&gt;0,J592*100/I592,0)</f>
        <v>0</v>
      </c>
      <c r="L592" s="645"/>
      <c r="M592" s="645"/>
      <c r="N592" s="645"/>
      <c r="O592" s="645"/>
      <c r="P592" s="645"/>
    </row>
    <row r="593" spans="1:1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IFERROR(__xludf.DUMMYFUNCTION("IMPORTRANGE(""https://docs.google.com/spreadsheets/d/1QqKyyYR6Q21VydFLVH3TRQUabQu_ym0Zz7PgGX0-kHA/edit?usp=sharing"",""แผน!HJ16"")"),6733.58)</f>
        <v>6733.58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</row>
    <row r="594" spans="1:1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IFERROR(__xludf.DUMMYFUNCTION("IMPORTRANGE(""https://docs.google.com/spreadsheets/d/1QqKyyYR6Q21VydFLVH3TRQUabQu_ym0Zz7PgGX0-kHA/edit?usp=sharing"",""แผน!HI16"")"),1350)</f>
        <v>1350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</row>
    <row r="595" spans="1:1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</row>
    <row r="596" spans="1:1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</row>
    <row r="597" spans="1:1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</row>
    <row r="598" spans="1:1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</row>
    <row r="599" spans="1:1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</row>
    <row r="600" spans="1:1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</row>
    <row r="601" spans="1:1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</row>
    <row r="602" spans="1:1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</row>
    <row r="603" spans="1:1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</row>
    <row r="604" spans="1:1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</row>
    <row r="605" spans="1:1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</row>
    <row r="606" spans="1:1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</row>
    <row r="607" spans="1:1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</row>
    <row r="608" spans="1:1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</row>
    <row r="609" spans="1:1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</row>
    <row r="610" spans="1:1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</row>
    <row r="611" spans="1:16" ht="19.5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8">IF(I611&gt;0,J611*100/I611,0)</f>
        <v>0</v>
      </c>
      <c r="L611" s="645"/>
      <c r="M611" s="645"/>
      <c r="N611" s="645"/>
      <c r="O611" s="645"/>
      <c r="P611" s="645"/>
    </row>
    <row r="612" spans="1:1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59">J614+J616</f>
        <v>0</v>
      </c>
      <c r="K612" s="684">
        <f t="shared" si="258"/>
        <v>0</v>
      </c>
      <c r="L612" s="685"/>
      <c r="M612" s="685"/>
      <c r="N612" s="685"/>
      <c r="O612" s="685"/>
      <c r="P612" s="685"/>
    </row>
    <row r="613" spans="1:1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59"/>
        <v>0</v>
      </c>
      <c r="K613" s="684">
        <f t="shared" si="258"/>
        <v>0</v>
      </c>
      <c r="L613" s="685"/>
      <c r="M613" s="685"/>
      <c r="N613" s="685"/>
      <c r="O613" s="685"/>
      <c r="P613" s="685"/>
    </row>
    <row r="614" spans="1:1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</row>
    <row r="615" spans="1:1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</row>
    <row r="616" spans="1:1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</row>
    <row r="617" spans="1:1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</row>
    <row r="618" spans="1:1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</row>
    <row r="619" spans="1:1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</row>
    <row r="620" spans="1:16" ht="19.5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IFERROR(__xludf.DUMMYFUNCTION("IMPORTRANGE(""https://docs.google.com/spreadsheets/d/1QqKyyYR6Q21VydFLVH3TRQUabQu_ym0Zz7PgGX0-kHA/edit?usp=sharing"",""แผน!HL16"")"),13)</f>
        <v>13</v>
      </c>
      <c r="J620" s="695">
        <f t="shared" ref="J620:J621" si="260">J622+J624+J626</f>
        <v>0</v>
      </c>
      <c r="K620" s="696">
        <f t="shared" ref="K620:K621" ca="1" si="261">IF(I620&gt;0,J620*100/I620,0)</f>
        <v>0</v>
      </c>
      <c r="L620" s="697"/>
      <c r="M620" s="697"/>
      <c r="N620" s="697"/>
      <c r="O620" s="697"/>
      <c r="P620" s="697"/>
    </row>
    <row r="621" spans="1:16" ht="19.5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IFERROR(__xludf.DUMMYFUNCTION("IMPORTRANGE(""https://docs.google.com/spreadsheets/d/1QqKyyYR6Q21VydFLVH3TRQUabQu_ym0Zz7PgGX0-kHA/edit?usp=sharing"",""แผน!HK16"")"),2)</f>
        <v>2</v>
      </c>
      <c r="J621" s="695">
        <f t="shared" si="260"/>
        <v>0</v>
      </c>
      <c r="K621" s="696">
        <f t="shared" ca="1" si="261"/>
        <v>0</v>
      </c>
      <c r="L621" s="697"/>
      <c r="M621" s="697"/>
      <c r="N621" s="697"/>
      <c r="O621" s="697"/>
      <c r="P621" s="697"/>
    </row>
    <row r="622" spans="1:16" ht="18.75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</row>
    <row r="623" spans="1:16" ht="18.75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</row>
    <row r="624" spans="1:16" ht="18.75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</row>
    <row r="625" spans="1:16" ht="18.75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</row>
    <row r="626" spans="1:16" ht="18.75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</row>
    <row r="627" spans="1:16" ht="18.75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</row>
    <row r="628" spans="1:16" ht="19.5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262">I651</f>
        <v>21</v>
      </c>
      <c r="J628" s="708">
        <f t="shared" ca="1" si="262"/>
        <v>0</v>
      </c>
      <c r="K628" s="709">
        <f ca="1">IF(I628&gt;0,J628*100/I628,0)</f>
        <v>0</v>
      </c>
      <c r="L628" s="710"/>
      <c r="M628" s="710"/>
      <c r="N628" s="710"/>
      <c r="O628" s="710"/>
      <c r="P628" s="710"/>
    </row>
    <row r="629" spans="1:16" ht="19.5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233605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</row>
    <row r="630" spans="1:1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</row>
    <row r="631" spans="1:1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6"/>
        <v>233605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</row>
    <row r="632" spans="1:16" ht="18.75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7">L633+L634</f>
        <v>233605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</row>
    <row r="633" spans="1:1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</row>
    <row r="634" spans="1:1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IFERROR(__xludf.DUMMYFUNCTION("IMPORTRANGE(""https://docs.google.com/spreadsheets/d/1QqKyyYR6Q21VydFLVH3TRQUabQu_ym0Zz7PgGX0-kHA/edit?usp=sharing"",""แผน!HN16"")"),233605)</f>
        <v>233605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</row>
    <row r="635" spans="1:16" ht="18.75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</row>
    <row r="636" spans="1:16" ht="18.75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</row>
    <row r="637" spans="1:16" ht="18.75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0</v>
      </c>
      <c r="O637" s="466"/>
      <c r="P637" s="466"/>
    </row>
    <row r="638" spans="1:16" ht="18.75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v>0</v>
      </c>
      <c r="O638" s="466"/>
      <c r="P638" s="466"/>
    </row>
    <row r="639" spans="1:16" ht="18.75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</row>
    <row r="640" spans="1:1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</row>
    <row r="641" spans="1:1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</row>
    <row r="642" spans="1:16" ht="19.5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</row>
    <row r="643" spans="1:16" ht="18.75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IFERROR(__xludf.DUMMYFUNCTION("IMPORTRANGE(""https://docs.google.com/spreadsheets/d/1QqKyyYR6Q21VydFLVH3TRQUabQu_ym0Zz7PgGX0-kHA/edit?usp=sharing"",""แผน!HR16"")"),2)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</row>
    <row r="644" spans="1:16" ht="18.75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IFERROR(__xludf.DUMMYFUNCTION("IMPORTRANGE(""https://docs.google.com/spreadsheets/d/1QqKyyYR6Q21VydFLVH3TRQUabQu_ym0Zz7PgGX0-kHA/edit?usp=sharing"",""แผน!HR16"")"),2)</f>
        <v>2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</row>
    <row r="645" spans="1:16" ht="18.75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IFERROR(__xludf.DUMMYFUNCTION("IMPORTRANGE(""https://docs.google.com/spreadsheets/d/1XWAQStnk-4SwqDmLtmXYiTMKHgktTP8We1SCoS47DrQ/edit?usp=sharing"",""จัดที่ดิน!AS16"")"),0)</f>
        <v>0</v>
      </c>
      <c r="K645" s="163">
        <f t="shared" si="271"/>
        <v>0</v>
      </c>
      <c r="L645" s="163"/>
      <c r="M645" s="163"/>
      <c r="N645" s="466"/>
      <c r="O645" s="163"/>
      <c r="P645" s="163"/>
    </row>
    <row r="646" spans="1:16" ht="18.75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IFERROR(__xludf.DUMMYFUNCTION("IMPORTRANGE(""https://docs.google.com/spreadsheets/d/1XWAQStnk-4SwqDmLtmXYiTMKHgktTP8We1SCoS47DrQ/edit?usp=sharing"",""จัดที่ดิน!AT16"")"),0)</f>
        <v>0</v>
      </c>
      <c r="K646" s="466">
        <f t="shared" si="271"/>
        <v>0</v>
      </c>
      <c r="L646" s="163"/>
      <c r="M646" s="163"/>
      <c r="N646" s="466"/>
      <c r="O646" s="163"/>
      <c r="P646" s="163"/>
    </row>
    <row r="647" spans="1:16" ht="18.75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IFERROR(__xludf.DUMMYFUNCTION("IMPORTRANGE(""https://docs.google.com/spreadsheets/d/1QqKyyYR6Q21VydFLVH3TRQUabQu_ym0Zz7PgGX0-kHA/edit?usp=sharing"",""แผน!HS16"")"),21)</f>
        <v>21</v>
      </c>
      <c r="J647" s="270">
        <f ca="1">IFERROR(__xludf.DUMMYFUNCTION("IMPORTRANGE(""https://docs.google.com/spreadsheets/d/1XWAQStnk-4SwqDmLtmXYiTMKHgktTP8We1SCoS47DrQ/edit?usp=sharing"",""จัดที่ดิน!AU16"")"),0)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</row>
    <row r="648" spans="1:16" ht="18.75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IFERROR(__xludf.DUMMYFUNCTION("IMPORTRANGE(""https://docs.google.com/spreadsheets/d/1XWAQStnk-4SwqDmLtmXYiTMKHgktTP8We1SCoS47DrQ/edit?usp=sharing"",""จัดที่ดิน!AV16"")"),0)</f>
        <v>0</v>
      </c>
      <c r="K648" s="466">
        <f t="shared" si="271"/>
        <v>0</v>
      </c>
      <c r="L648" s="163"/>
      <c r="M648" s="163"/>
      <c r="N648" s="163"/>
      <c r="O648" s="163"/>
      <c r="P648" s="163"/>
    </row>
    <row r="649" spans="1:16" ht="18.75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IFERROR(__xludf.DUMMYFUNCTION("IMPORTRANGE(""https://docs.google.com/spreadsheets/d/1QqKyyYR6Q21VydFLVH3TRQUabQu_ym0Zz7PgGX0-kHA/edit?usp=sharing"",""แผน!HS16"")"),21)</f>
        <v>21</v>
      </c>
      <c r="J649" s="270">
        <f ca="1">IFERROR(__xludf.DUMMYFUNCTION("IMPORTRANGE(""https://docs.google.com/spreadsheets/d/1XWAQStnk-4SwqDmLtmXYiTMKHgktTP8We1SCoS47DrQ/edit?usp=sharing"",""จัดที่ดิน!AW16"")"),0)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</row>
    <row r="650" spans="1:16" ht="18.75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IFERROR(__xludf.DUMMYFUNCTION("IMPORTRANGE(""https://docs.google.com/spreadsheets/d/1XWAQStnk-4SwqDmLtmXYiTMKHgktTP8We1SCoS47DrQ/edit?usp=sharing"",""จัดที่ดิน!AX16"")"),0)</f>
        <v>0</v>
      </c>
      <c r="K650" s="466">
        <f t="shared" si="271"/>
        <v>0</v>
      </c>
      <c r="L650" s="163"/>
      <c r="M650" s="163"/>
      <c r="N650" s="163"/>
      <c r="O650" s="163"/>
      <c r="P650" s="163"/>
    </row>
    <row r="651" spans="1:16" ht="18.75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IFERROR(__xludf.DUMMYFUNCTION("IMPORTRANGE(""https://docs.google.com/spreadsheets/d/1QqKyyYR6Q21VydFLVH3TRQUabQu_ym0Zz7PgGX0-kHA/edit?usp=sharing"",""แผน!HS16"")"),21)</f>
        <v>21</v>
      </c>
      <c r="J651" s="270">
        <f ca="1">IFERROR(__xludf.DUMMYFUNCTION("IMPORTRANGE(""https://docs.google.com/spreadsheets/d/1XWAQStnk-4SwqDmLtmXYiTMKHgktTP8We1SCoS47DrQ/edit?usp=sharing"",""จัดที่ดิน!AY16"")"),0)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</row>
    <row r="652" spans="1:16" ht="18.75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IFERROR(__xludf.DUMMYFUNCTION("IMPORTRANGE(""https://docs.google.com/spreadsheets/d/1XWAQStnk-4SwqDmLtmXYiTMKHgktTP8We1SCoS47DrQ/edit?usp=sharing"",""จัดที่ดิน!AZ16"")"),0)</f>
        <v>0</v>
      </c>
      <c r="K652" s="470">
        <f t="shared" si="271"/>
        <v>0</v>
      </c>
      <c r="L652" s="354"/>
      <c r="M652" s="354"/>
      <c r="N652" s="354"/>
      <c r="O652" s="354"/>
      <c r="P652" s="354"/>
    </row>
    <row r="653" spans="1:16" ht="19.5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</row>
    <row r="654" spans="1:16" ht="19.5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2">I669</f>
        <v>100</v>
      </c>
      <c r="J654" s="675">
        <f t="shared" si="27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</row>
    <row r="655" spans="1:16" ht="19.5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15600</v>
      </c>
      <c r="M655" s="195">
        <f t="shared" si="273"/>
        <v>0</v>
      </c>
      <c r="N655" s="195">
        <f t="shared" si="273"/>
        <v>3403</v>
      </c>
      <c r="O655" s="195">
        <f t="shared" ref="O655:O660" ca="1" si="274">IF(L655&gt;0,N655*100/L655,0)</f>
        <v>21.814102564102566</v>
      </c>
      <c r="P655" s="195">
        <f t="shared" ref="P655:P660" si="275">IF(M655&gt;0,N655*100/M655,0)</f>
        <v>0</v>
      </c>
    </row>
    <row r="656" spans="1:1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</row>
    <row r="657" spans="1:1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6"/>
        <v>15600</v>
      </c>
      <c r="M657" s="93">
        <f t="shared" si="276"/>
        <v>0</v>
      </c>
      <c r="N657" s="93">
        <f t="shared" si="276"/>
        <v>3403</v>
      </c>
      <c r="O657" s="93">
        <f t="shared" ca="1" si="274"/>
        <v>21.814102564102566</v>
      </c>
      <c r="P657" s="93">
        <f t="shared" si="275"/>
        <v>0</v>
      </c>
    </row>
    <row r="658" spans="1:16" ht="18.75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7">L659+L660</f>
        <v>15600</v>
      </c>
      <c r="M658" s="466">
        <f t="shared" si="277"/>
        <v>0</v>
      </c>
      <c r="N658" s="466">
        <f t="shared" si="277"/>
        <v>3403</v>
      </c>
      <c r="O658" s="466">
        <f t="shared" ca="1" si="274"/>
        <v>21.814102564102566</v>
      </c>
      <c r="P658" s="466">
        <f t="shared" si="275"/>
        <v>0</v>
      </c>
    </row>
    <row r="659" spans="1:1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</row>
    <row r="660" spans="1:1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IFERROR(__xludf.DUMMYFUNCTION("IMPORTRANGE(""https://docs.google.com/spreadsheets/d/1QqKyyYR6Q21VydFLVH3TRQUabQu_ym0Zz7PgGX0-kHA/edit?usp=sharing"",""แผน!HV16"")"),15600)</f>
        <v>15600</v>
      </c>
      <c r="M660" s="93">
        <v>0</v>
      </c>
      <c r="N660" s="93">
        <f>N661+N662+N663+N664</f>
        <v>3403</v>
      </c>
      <c r="O660" s="93">
        <f t="shared" ca="1" si="274"/>
        <v>21.814102564102566</v>
      </c>
      <c r="P660" s="93">
        <f t="shared" si="275"/>
        <v>0</v>
      </c>
    </row>
    <row r="661" spans="1:16" ht="18.75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</row>
    <row r="662" spans="1:16" ht="18.75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</row>
    <row r="663" spans="1:16" ht="18.75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</row>
    <row r="664" spans="1:16" ht="18.75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f>1400+2003</f>
        <v>3403</v>
      </c>
      <c r="O664" s="466"/>
      <c r="P664" s="466"/>
    </row>
    <row r="665" spans="1:16" ht="18.75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</row>
    <row r="666" spans="1:1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</row>
    <row r="667" spans="1:1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</row>
    <row r="668" spans="1:16" ht="19.5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</row>
    <row r="669" spans="1:16" ht="19.5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IFERROR(__xludf.DUMMYFUNCTION("IMPORTRANGE(""https://docs.google.com/spreadsheets/d/1QqKyyYR6Q21VydFLVH3TRQUabQu_ym0Zz7PgGX0-kHA/edit?usp=sharing"",""แผน!IA16"")"),100)</f>
        <v>100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</row>
    <row r="670" spans="1:16" ht="18.75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IFERROR(__xludf.DUMMYFUNCTION("IMPORTRANGE(""https://docs.google.com/spreadsheets/d/1QqKyyYR6Q21VydFLVH3TRQUabQu_ym0Zz7PgGX0-kHA/edit?usp=sharing"",""แผน!HZ16"")"),6)</f>
        <v>6</v>
      </c>
      <c r="J670" s="215">
        <v>6</v>
      </c>
      <c r="K670" s="466">
        <f ca="1">IF(I670&gt;0,(J670*100)/I670,0)</f>
        <v>100</v>
      </c>
      <c r="L670" s="163"/>
      <c r="M670" s="163"/>
      <c r="N670" s="163"/>
      <c r="O670" s="163"/>
      <c r="P670" s="163"/>
    </row>
    <row r="671" spans="1:16" ht="18.75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IFERROR(__xludf.DUMMYFUNCTION("IMPORTRANGE(""https://docs.google.com/spreadsheets/d/1QqKyyYR6Q21VydFLVH3TRQUabQu_ym0Zz7PgGX0-kHA/edit?usp=sharing"",""แผน!HZ16"")"),6)</f>
        <v>6</v>
      </c>
      <c r="J671" s="215">
        <v>6</v>
      </c>
      <c r="K671" s="466">
        <f ca="1">IF(I$671&gt;0,J671*100/I$671,0)</f>
        <v>100</v>
      </c>
      <c r="L671" s="163"/>
      <c r="M671" s="163"/>
      <c r="N671" s="163"/>
      <c r="O671" s="163"/>
      <c r="P671" s="163"/>
    </row>
    <row r="672" spans="1:16" ht="18.75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</row>
    <row r="673" spans="1:16" ht="18.75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</row>
    <row r="674" spans="1:16" ht="18.75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</row>
    <row r="675" spans="1:16" ht="19.5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</row>
    <row r="676" spans="1:16" ht="18.75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</row>
    <row r="677" spans="1:16" ht="18.75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</row>
    <row r="678" spans="1:16" ht="19.5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IFERROR(__xludf.DUMMYFUNCTION("IMPORTRANGE(""https://docs.google.com/spreadsheets/d/1QqKyyYR6Q21VydFLVH3TRQUabQu_ym0Zz7PgGX0-kHA/edit?usp=sharing"",""แผน!IB16"")"),0)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</row>
    <row r="679" spans="1:16" ht="18.75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</row>
    <row r="680" spans="1:16" ht="18.75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</row>
    <row r="681" spans="1:16" ht="18.75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</row>
    <row r="682" spans="1:16" ht="18.75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</row>
    <row r="683" spans="1:16" ht="18.75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</row>
    <row r="684" spans="1:16" ht="19.5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</row>
    <row r="685" spans="1:16" ht="19.5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1750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</row>
    <row r="686" spans="1:16" ht="18.75" hidden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</row>
    <row r="687" spans="1:16" ht="18.75" hidden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5"/>
        <v>1750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</row>
    <row r="688" spans="1:16" ht="18.75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6">L689+L690</f>
        <v>1750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</row>
    <row r="689" spans="1:16" ht="18.75" hidden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</row>
    <row r="690" spans="1:16" ht="18.75" hidden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IFERROR(__xludf.DUMMYFUNCTION("IMPORTRANGE(""https://docs.google.com/spreadsheets/d/1QqKyyYR6Q21VydFLVH3TRQUabQu_ym0Zz7PgGX0-kHA/edit?usp=sharing"",""แผน!HW16"")"),1750)</f>
        <v>1750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</row>
    <row r="691" spans="1:16" ht="18.75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</row>
    <row r="692" spans="1:16" ht="18.75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</row>
    <row r="693" spans="1:16" ht="18.75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</row>
    <row r="694" spans="1:16" ht="18.75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0</v>
      </c>
      <c r="O694" s="466"/>
      <c r="P694" s="466"/>
    </row>
    <row r="695" spans="1:16" ht="18.75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</row>
    <row r="696" spans="1:16" ht="18.75" hidden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</row>
    <row r="697" spans="1:16" ht="18.75" hidden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</row>
    <row r="698" spans="1:16" ht="19.5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</row>
    <row r="699" spans="1:16" ht="18.75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IFERROR(__xludf.DUMMYFUNCTION("IMPORTRANGE(""https://docs.google.com/spreadsheets/d/1QqKyyYR6Q21VydFLVH3TRQUabQu_ym0Zz7PgGX0-kHA/edit?usp=sharing"",""แผน!IC16"")"),0)</f>
        <v>0</v>
      </c>
      <c r="J699" s="270">
        <f ca="1">IFERROR(__xludf.DUMMYFUNCTION("IMPORTRANGE(""https://docs.google.com/spreadsheets/d/1XWAQStnk-4SwqDmLtmXYiTMKHgktTP8We1SCoS47DrQ/edit?usp=sharing"",""จัดที่ดิน!BB16"")"),0)</f>
        <v>0</v>
      </c>
      <c r="K699" s="466">
        <f t="shared" ref="K699:K701" ca="1" si="290">IF(I699&gt;0,J699*100/I699,0)</f>
        <v>0</v>
      </c>
      <c r="L699" s="466"/>
      <c r="M699" s="189"/>
      <c r="N699" s="733"/>
      <c r="O699" s="466"/>
      <c r="P699" s="466"/>
    </row>
    <row r="700" spans="1:16" ht="18.75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IFERROR(__xludf.DUMMYFUNCTION("IMPORTRANGE(""https://docs.google.com/spreadsheets/d/1QqKyyYR6Q21VydFLVH3TRQUabQu_ym0Zz7PgGX0-kHA/edit?usp=sharing"",""แผน!ID16"")"),4)</f>
        <v>4</v>
      </c>
      <c r="J700" s="270">
        <f ca="1">IFERROR(__xludf.DUMMYFUNCTION("IMPORTRANGE(""https://docs.google.com/spreadsheets/d/1XWAQStnk-4SwqDmLtmXYiTMKHgktTP8We1SCoS47DrQ/edit?usp=sharing"",""จัดที่ดิน!BD16"")"),0)</f>
        <v>0</v>
      </c>
      <c r="K700" s="466">
        <f t="shared" ca="1" si="290"/>
        <v>0</v>
      </c>
      <c r="L700" s="466"/>
      <c r="M700" s="189"/>
      <c r="N700" s="733"/>
      <c r="O700" s="466"/>
      <c r="P700" s="466"/>
    </row>
    <row r="701" spans="1:16" ht="19.5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IFERROR(__xludf.DUMMYFUNCTION("IMPORTRANGE(""https://docs.google.com/spreadsheets/d/1QqKyyYR6Q21VydFLVH3TRQUabQu_ym0Zz7PgGX0-kHA/edit?usp=sharing"",""แผน!IE16"")"),0)</f>
        <v>0</v>
      </c>
      <c r="J701" s="648">
        <f>J704+J707</f>
        <v>0</v>
      </c>
      <c r="K701" s="195">
        <f t="shared" ca="1" si="290"/>
        <v>0</v>
      </c>
      <c r="L701" s="466"/>
      <c r="M701" s="189"/>
      <c r="N701" s="733"/>
      <c r="O701" s="466"/>
      <c r="P701" s="466"/>
    </row>
    <row r="702" spans="1:16" ht="18.75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</row>
    <row r="703" spans="1:16" ht="18.75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</row>
    <row r="704" spans="1:16" ht="18.75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IFERROR(__xludf.DUMMYFUNCTION("IMPORTRANGE(""https://docs.google.com/spreadsheets/d/1QqKyyYR6Q21VydFLVH3TRQUabQu_ym0Zz7PgGX0-kHA/edit?usp=sharing"",""แผน!IF16"")"),0)</f>
        <v>0</v>
      </c>
      <c r="J704" s="215">
        <v>0</v>
      </c>
      <c r="K704" s="466"/>
      <c r="L704" s="466"/>
      <c r="M704" s="189"/>
      <c r="N704" s="733"/>
      <c r="O704" s="466"/>
      <c r="P704" s="466"/>
    </row>
    <row r="705" spans="1:16" ht="18.75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0</v>
      </c>
      <c r="K705" s="466"/>
      <c r="L705" s="466"/>
      <c r="M705" s="189"/>
      <c r="N705" s="733"/>
      <c r="O705" s="466"/>
      <c r="P705" s="466"/>
    </row>
    <row r="706" spans="1:16" ht="18.75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0</v>
      </c>
      <c r="K706" s="466"/>
      <c r="L706" s="466"/>
      <c r="M706" s="189"/>
      <c r="N706" s="733"/>
      <c r="O706" s="466"/>
      <c r="P706" s="466"/>
    </row>
    <row r="707" spans="1:16" ht="18.75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IFERROR(__xludf.DUMMYFUNCTION("IMPORTRANGE(""https://docs.google.com/spreadsheets/d/1QqKyyYR6Q21VydFLVH3TRQUabQu_ym0Zz7PgGX0-kHA/edit?usp=sharing"",""แผน!IG16"")"),0)</f>
        <v>0</v>
      </c>
      <c r="J707" s="215">
        <v>0</v>
      </c>
      <c r="K707" s="466"/>
      <c r="L707" s="466"/>
      <c r="M707" s="189"/>
      <c r="N707" s="733"/>
      <c r="O707" s="466"/>
      <c r="P707" s="466"/>
    </row>
    <row r="708" spans="1:16" ht="19.5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IFERROR(__xludf.DUMMYFUNCTION("IMPORTRANGE(""https://docs.google.com/spreadsheets/d/1QqKyyYR6Q21VydFLVH3TRQUabQu_ym0Zz7PgGX0-kHA/edit?usp=sharing"",""แผน!IH16"")"),0)</f>
        <v>0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</row>
    <row r="709" spans="1:16" ht="18.75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</row>
    <row r="710" spans="1:16" ht="18.75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</row>
    <row r="711" spans="1:16" ht="18.75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</row>
    <row r="712" spans="1:16" ht="18.75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</row>
    <row r="713" spans="1:16" ht="18.75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</row>
    <row r="714" spans="1:16" ht="18.75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</row>
    <row r="715" spans="1:16" ht="18.75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</row>
    <row r="716" spans="1:16" ht="18.75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</row>
    <row r="717" spans="1:16" ht="18.75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</row>
    <row r="718" spans="1:16" ht="18.75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IFERROR(__xludf.DUMMYFUNCTION("IMPORTRANGE(""https://docs.google.com/spreadsheets/d/1XWAQStnk-4SwqDmLtmXYiTMKHgktTP8We1SCoS47DrQ/edit?usp=sharing"",""จัดที่ดิน!BF16"")"),0)</f>
        <v>0</v>
      </c>
      <c r="K718" s="466"/>
      <c r="L718" s="466"/>
      <c r="M718" s="189"/>
      <c r="N718" s="733"/>
      <c r="O718" s="466"/>
      <c r="P718" s="466"/>
    </row>
    <row r="719" spans="1:16" ht="18.75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IFERROR(__xludf.DUMMYFUNCTION("IMPORTRANGE(""https://docs.google.com/spreadsheets/d/1XWAQStnk-4SwqDmLtmXYiTMKHgktTP8We1SCoS47DrQ/edit?usp=sharing"",""จัดที่ดิน!BG16"")"),0)</f>
        <v>0</v>
      </c>
      <c r="K719" s="466"/>
      <c r="L719" s="733"/>
      <c r="M719" s="189"/>
      <c r="N719" s="733"/>
      <c r="O719" s="466"/>
      <c r="P719" s="466"/>
    </row>
    <row r="720" spans="1:16" ht="18.75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IFERROR(__xludf.DUMMYFUNCTION("IMPORTRANGE(""https://docs.google.com/spreadsheets/d/1QqKyyYR6Q21VydFLVH3TRQUabQu_ym0Zz7PgGX0-kHA/edit?usp=sharing"",""แผน!II16"")"),9)</f>
        <v>9</v>
      </c>
      <c r="J720" s="270">
        <f ca="1">IFERROR(__xludf.DUMMYFUNCTION("IMPORTRANGE(""https://docs.google.com/spreadsheets/d/1XWAQStnk-4SwqDmLtmXYiTMKHgktTP8We1SCoS47DrQ/edit?usp=sharing"",""จัดที่ดิน!BH16"")"),0)</f>
        <v>0</v>
      </c>
      <c r="K720" s="466">
        <f t="shared" ref="K720:K723" ca="1" si="291">IF(I720&gt;0,J720*100/I720,0)</f>
        <v>0</v>
      </c>
      <c r="L720" s="733"/>
      <c r="M720" s="189"/>
      <c r="N720" s="733"/>
      <c r="O720" s="466"/>
      <c r="P720" s="466"/>
    </row>
    <row r="721" spans="1:16" ht="19.5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IFERROR(__xludf.DUMMYFUNCTION("IMPORTRANGE(""https://docs.google.com/spreadsheets/d/1QqKyyYR6Q21VydFLVH3TRQUabQu_ym0Zz7PgGX0-kHA/edit?usp=sharing"",""แผน!IJ16"")"),0)</f>
        <v>0</v>
      </c>
      <c r="J721" s="648">
        <f ca="1">J723+J726</f>
        <v>0</v>
      </c>
      <c r="K721" s="195">
        <f t="shared" ca="1" si="291"/>
        <v>0</v>
      </c>
      <c r="L721" s="733"/>
      <c r="M721" s="189"/>
      <c r="N721" s="733"/>
      <c r="O721" s="466"/>
      <c r="P721" s="466"/>
    </row>
    <row r="722" spans="1:16" ht="19.5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IFERROR(__xludf.DUMMYFUNCTION("IMPORTRANGE(""https://docs.google.com/spreadsheets/d/1QqKyyYR6Q21VydFLVH3TRQUabQu_ym0Zz7PgGX0-kHA/edit?usp=sharing"",""แผน!IK16"")"),0)</f>
        <v>0</v>
      </c>
      <c r="J722" s="648">
        <f ca="1">J725+J728</f>
        <v>0</v>
      </c>
      <c r="K722" s="195">
        <f t="shared" ca="1" si="291"/>
        <v>0</v>
      </c>
      <c r="L722" s="466"/>
      <c r="M722" s="189"/>
      <c r="N722" s="733"/>
      <c r="O722" s="466"/>
      <c r="P722" s="466"/>
    </row>
    <row r="723" spans="1:16" ht="18.75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IFERROR(__xludf.DUMMYFUNCTION("IMPORTRANGE(""https://docs.google.com/spreadsheets/d/1QqKyyYR6Q21VydFLVH3TRQUabQu_ym0Zz7PgGX0-kHA/edit?usp=sharing"",""แผน!IL16"")"),0)</f>
        <v>0</v>
      </c>
      <c r="J723" s="270">
        <f ca="1">IFERROR(__xludf.DUMMYFUNCTION("IMPORTRANGE(""https://docs.google.com/spreadsheets/d/1XWAQStnk-4SwqDmLtmXYiTMKHgktTP8We1SCoS47DrQ/edit?usp=sharing"",""จัดที่ดิน!BM16"")"),0)</f>
        <v>0</v>
      </c>
      <c r="K723" s="466">
        <f t="shared" ca="1" si="291"/>
        <v>0</v>
      </c>
      <c r="L723" s="466"/>
      <c r="M723" s="189"/>
      <c r="N723" s="733"/>
      <c r="O723" s="466"/>
      <c r="P723" s="466"/>
    </row>
    <row r="724" spans="1:16" ht="18.75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IFERROR(__xludf.DUMMYFUNCTION("IMPORTRANGE(""https://docs.google.com/spreadsheets/d/1XWAQStnk-4SwqDmLtmXYiTMKHgktTP8We1SCoS47DrQ/edit?usp=sharing"",""จัดที่ดิน!BN16"")"),0)</f>
        <v>0</v>
      </c>
      <c r="K724" s="466"/>
      <c r="L724" s="733"/>
      <c r="M724" s="189"/>
      <c r="N724" s="733"/>
      <c r="O724" s="466"/>
      <c r="P724" s="466"/>
    </row>
    <row r="725" spans="1:16" ht="18.75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IFERROR(__xludf.DUMMYFUNCTION("IMPORTRANGE(""https://docs.google.com/spreadsheets/d/1QqKyyYR6Q21VydFLVH3TRQUabQu_ym0Zz7PgGX0-kHA/edit?usp=sharing"",""แผน!IM16"")"),0)</f>
        <v>0</v>
      </c>
      <c r="J725" s="270">
        <f ca="1">IFERROR(__xludf.DUMMYFUNCTION("IMPORTRANGE(""https://docs.google.com/spreadsheets/d/1XWAQStnk-4SwqDmLtmXYiTMKHgktTP8We1SCoS47DrQ/edit?usp=sharing"",""จัดที่ดิน!BO16"")"),0)</f>
        <v>0</v>
      </c>
      <c r="K725" s="466">
        <f t="shared" ref="K725:K726" ca="1" si="292">IF(I725&gt;0,J725*100/I725,0)</f>
        <v>0</v>
      </c>
      <c r="L725" s="733"/>
      <c r="M725" s="189"/>
      <c r="N725" s="733"/>
      <c r="O725" s="466"/>
      <c r="P725" s="466"/>
    </row>
    <row r="726" spans="1:16" ht="18.75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IFERROR(__xludf.DUMMYFUNCTION("IMPORTRANGE(""https://docs.google.com/spreadsheets/d/1QqKyyYR6Q21VydFLVH3TRQUabQu_ym0Zz7PgGX0-kHA/edit?usp=sharing"",""แผน!IN16"")"),0)</f>
        <v>0</v>
      </c>
      <c r="J726" s="270">
        <f ca="1">IFERROR(__xludf.DUMMYFUNCTION("IMPORTRANGE(""https://docs.google.com/spreadsheets/d/1XWAQStnk-4SwqDmLtmXYiTMKHgktTP8We1SCoS47DrQ/edit?usp=sharing"",""จัดที่ดิน!BR16"")"),0)</f>
        <v>0</v>
      </c>
      <c r="K726" s="466">
        <f t="shared" ca="1" si="292"/>
        <v>0</v>
      </c>
      <c r="L726" s="466"/>
      <c r="M726" s="189"/>
      <c r="N726" s="733"/>
      <c r="O726" s="466"/>
      <c r="P726" s="466"/>
    </row>
    <row r="727" spans="1:16" ht="18.75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IFERROR(__xludf.DUMMYFUNCTION("IMPORTRANGE(""https://docs.google.com/spreadsheets/d/1XWAQStnk-4SwqDmLtmXYiTMKHgktTP8We1SCoS47DrQ/edit?usp=sharing"",""จัดที่ดิน!BS16"")"),0)</f>
        <v>0</v>
      </c>
      <c r="K727" s="466"/>
      <c r="L727" s="733"/>
      <c r="M727" s="189"/>
      <c r="N727" s="733"/>
      <c r="O727" s="466"/>
      <c r="P727" s="466"/>
    </row>
    <row r="728" spans="1:16" ht="18.75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IFERROR(__xludf.DUMMYFUNCTION("IMPORTRANGE(""https://docs.google.com/spreadsheets/d/1QqKyyYR6Q21VydFLVH3TRQUabQu_ym0Zz7PgGX0-kHA/edit?usp=sharing"",""แผน!IO16"")"),0)</f>
        <v>0</v>
      </c>
      <c r="J728" s="270">
        <f ca="1">IFERROR(__xludf.DUMMYFUNCTION("IMPORTRANGE(""https://docs.google.com/spreadsheets/d/1XWAQStnk-4SwqDmLtmXYiTMKHgktTP8We1SCoS47DrQ/edit?usp=sharing"",""จัดที่ดิน!BT16"")"),0)</f>
        <v>0</v>
      </c>
      <c r="K728" s="466">
        <f t="shared" ref="K728:K729" ca="1" si="293">IF(I728&gt;0,J728*100/I728,0)</f>
        <v>0</v>
      </c>
      <c r="L728" s="733"/>
      <c r="M728" s="189"/>
      <c r="N728" s="733"/>
      <c r="O728" s="466"/>
      <c r="P728" s="466"/>
    </row>
    <row r="729" spans="1:16" ht="19.5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IFERROR(__xludf.DUMMYFUNCTION("IMPORTRANGE(""https://docs.google.com/spreadsheets/d/1QqKyyYR6Q21VydFLVH3TRQUabQu_ym0Zz7PgGX0-kHA/edit?usp=sharing"",""แผน!IP16"")"),0)</f>
        <v>0</v>
      </c>
      <c r="J729" s="648">
        <f>J732+J735</f>
        <v>0</v>
      </c>
      <c r="K729" s="195">
        <f t="shared" ca="1" si="293"/>
        <v>0</v>
      </c>
      <c r="L729" s="466"/>
      <c r="M729" s="189"/>
      <c r="N729" s="733"/>
      <c r="O729" s="466"/>
      <c r="P729" s="466"/>
    </row>
    <row r="730" spans="1:16" ht="18.75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0</v>
      </c>
      <c r="K730" s="466"/>
      <c r="L730" s="733"/>
      <c r="M730" s="466"/>
      <c r="N730" s="733"/>
      <c r="O730" s="466"/>
      <c r="P730" s="466"/>
    </row>
    <row r="731" spans="1:16" ht="18.75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0</v>
      </c>
      <c r="K731" s="466"/>
      <c r="L731" s="733"/>
      <c r="M731" s="466"/>
      <c r="N731" s="733"/>
      <c r="O731" s="466"/>
      <c r="P731" s="466"/>
    </row>
    <row r="732" spans="1:16" ht="18.75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0</v>
      </c>
      <c r="K732" s="466"/>
      <c r="L732" s="733"/>
      <c r="M732" s="466"/>
      <c r="N732" s="733"/>
      <c r="O732" s="466"/>
      <c r="P732" s="466"/>
    </row>
    <row r="733" spans="1:16" ht="18.75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0</v>
      </c>
      <c r="K733" s="466"/>
      <c r="L733" s="733"/>
      <c r="M733" s="466"/>
      <c r="N733" s="733"/>
      <c r="O733" s="466"/>
      <c r="P733" s="466"/>
    </row>
    <row r="734" spans="1:16" ht="18.75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0</v>
      </c>
      <c r="K734" s="466"/>
      <c r="L734" s="733"/>
      <c r="M734" s="466"/>
      <c r="N734" s="733"/>
      <c r="O734" s="466"/>
      <c r="P734" s="466"/>
    </row>
    <row r="735" spans="1:16" ht="19.5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0</v>
      </c>
      <c r="K735" s="470"/>
      <c r="L735" s="740"/>
      <c r="M735" s="470"/>
      <c r="N735" s="740"/>
      <c r="O735" s="470"/>
      <c r="P735" s="470"/>
    </row>
    <row r="736" spans="1:1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</row>
    <row r="737" spans="1:16" ht="19.5" hidden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4">L738+L739</f>
        <v>0</v>
      </c>
      <c r="M737" s="614">
        <f t="shared" si="294"/>
        <v>0</v>
      </c>
      <c r="N737" s="614">
        <f t="shared" si="294"/>
        <v>0</v>
      </c>
      <c r="O737" s="614">
        <f t="shared" ref="O737:O742" si="295">IF(L737&gt;0,N737*100/L737,0)</f>
        <v>0</v>
      </c>
      <c r="P737" s="614">
        <f t="shared" ref="P737:P742" si="296">IF(M737&gt;0,N737*100/M737,0)</f>
        <v>0</v>
      </c>
    </row>
    <row r="738" spans="1:16" ht="18.75" hidden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</row>
    <row r="739" spans="1:16" ht="18.75" hidden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</row>
    <row r="740" spans="1:16" ht="19.5" hidden="1">
      <c r="A740" s="564"/>
      <c r="B740" s="572"/>
      <c r="C740" s="726"/>
      <c r="D740" s="805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8">L741+L742</f>
        <v>0</v>
      </c>
      <c r="M740" s="614">
        <f t="shared" si="298"/>
        <v>0</v>
      </c>
      <c r="N740" s="614">
        <f t="shared" si="298"/>
        <v>0</v>
      </c>
      <c r="O740" s="614">
        <f t="shared" si="295"/>
        <v>0</v>
      </c>
      <c r="P740" s="614">
        <f t="shared" si="296"/>
        <v>0</v>
      </c>
    </row>
    <row r="741" spans="1:16" ht="18.75" hidden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</row>
    <row r="742" spans="1:16" ht="18.75" hidden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</row>
    <row r="743" spans="1:16" ht="18.75" hidden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</row>
    <row r="744" spans="1:16" ht="18.75" hidden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</row>
    <row r="745" spans="1:16" ht="18.75" hidden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</row>
    <row r="746" spans="1:16" ht="18.75" hidden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</row>
    <row r="747" spans="1:16" ht="19.5" hidden="1">
      <c r="A747" s="564"/>
      <c r="B747" s="572"/>
      <c r="C747" s="726"/>
      <c r="D747" s="805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299">L748+L749</f>
        <v>0</v>
      </c>
      <c r="M747" s="614">
        <f t="shared" si="299"/>
        <v>0</v>
      </c>
      <c r="N747" s="614">
        <f t="shared" si="299"/>
        <v>0</v>
      </c>
      <c r="O747" s="614">
        <f t="shared" ref="O747:O749" si="300">IF(L747&gt;0,N747*100/L747,0)</f>
        <v>0</v>
      </c>
      <c r="P747" s="614">
        <f t="shared" ref="P747:P749" si="301">IF(M747&gt;0,N747*100/M747,0)</f>
        <v>0</v>
      </c>
    </row>
    <row r="748" spans="1:16" ht="18.75" hidden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</row>
    <row r="749" spans="1:16" ht="18.75" hidden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</row>
    <row r="750" spans="1:16" ht="19.5" hidden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</row>
    <row r="751" spans="1:16" ht="18.75" hidden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</row>
    <row r="752" spans="1:16" ht="18.75" hidden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</row>
    <row r="753" spans="1:1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</row>
    <row r="754" spans="1:16" ht="19.5" hidden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2">L755+L756</f>
        <v>0</v>
      </c>
      <c r="M754" s="614">
        <f t="shared" si="302"/>
        <v>0</v>
      </c>
      <c r="N754" s="614">
        <f t="shared" si="302"/>
        <v>0</v>
      </c>
      <c r="O754" s="614">
        <f t="shared" ref="O754:O759" si="303">IF(L754&gt;0,N754*100/L754,0)</f>
        <v>0</v>
      </c>
      <c r="P754" s="614">
        <f t="shared" ref="P754:P759" si="304">IF(M754&gt;0,N754*100/M754,0)</f>
        <v>0</v>
      </c>
    </row>
    <row r="755" spans="1:16" ht="18.75" hidden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</row>
    <row r="756" spans="1:16" ht="18.75" hidden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</row>
    <row r="757" spans="1:16" ht="19.5" hidden="1">
      <c r="A757" s="564"/>
      <c r="B757" s="572"/>
      <c r="C757" s="726"/>
      <c r="D757" s="805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6">L758+L759</f>
        <v>0</v>
      </c>
      <c r="M757" s="614">
        <f t="shared" si="306"/>
        <v>0</v>
      </c>
      <c r="N757" s="614">
        <f t="shared" si="306"/>
        <v>0</v>
      </c>
      <c r="O757" s="614">
        <f t="shared" si="303"/>
        <v>0</v>
      </c>
      <c r="P757" s="614">
        <f t="shared" si="304"/>
        <v>0</v>
      </c>
    </row>
    <row r="758" spans="1:16" ht="18.75" hidden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</row>
    <row r="759" spans="1:16" ht="18.75" hidden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</row>
    <row r="760" spans="1:16" ht="18.75" hidden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</row>
    <row r="761" spans="1:16" ht="18.75" hidden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</row>
    <row r="762" spans="1:16" ht="18.75" hidden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</row>
    <row r="763" spans="1:16" ht="18.75" hidden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</row>
    <row r="764" spans="1:16" ht="19.5" hidden="1">
      <c r="A764" s="564"/>
      <c r="B764" s="572"/>
      <c r="C764" s="726"/>
      <c r="D764" s="805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7">L765+L766</f>
        <v>0</v>
      </c>
      <c r="M764" s="614">
        <f t="shared" si="307"/>
        <v>0</v>
      </c>
      <c r="N764" s="614">
        <f t="shared" si="307"/>
        <v>0</v>
      </c>
      <c r="O764" s="614">
        <f t="shared" ref="O764:O766" si="308">IF(L764&gt;0,N764*100/L764,0)</f>
        <v>0</v>
      </c>
      <c r="P764" s="614">
        <f t="shared" ref="P764:P766" si="309">IF(M764&gt;0,N764*100/M764,0)</f>
        <v>0</v>
      </c>
    </row>
    <row r="765" spans="1:16" ht="18.75" hidden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</row>
    <row r="766" spans="1:16" ht="18.75" hidden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</row>
    <row r="767" spans="1:16" ht="19.5" hidden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</row>
    <row r="768" spans="1:16" ht="18.75" hidden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</row>
    <row r="769" spans="1:1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</row>
    <row r="770" spans="1:16" ht="19.5" hidden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0">L771+L772</f>
        <v>0</v>
      </c>
      <c r="M770" s="614">
        <f t="shared" si="310"/>
        <v>0</v>
      </c>
      <c r="N770" s="614">
        <f t="shared" si="310"/>
        <v>0</v>
      </c>
      <c r="O770" s="614">
        <f t="shared" ref="O770:O775" si="311">IF(L770&gt;0,N770*100/L770,0)</f>
        <v>0</v>
      </c>
      <c r="P770" s="614">
        <f t="shared" ref="P770:P775" si="312">IF(M770&gt;0,N770*100/M770,0)</f>
        <v>0</v>
      </c>
    </row>
    <row r="771" spans="1:16" ht="18.75" hidden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</row>
    <row r="772" spans="1:16" ht="18.75" hidden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</row>
    <row r="773" spans="1:16" ht="19.5" hidden="1">
      <c r="A773" s="564"/>
      <c r="B773" s="572"/>
      <c r="C773" s="726"/>
      <c r="D773" s="805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4">L774+L775</f>
        <v>0</v>
      </c>
      <c r="M773" s="614">
        <f t="shared" si="314"/>
        <v>0</v>
      </c>
      <c r="N773" s="614">
        <f t="shared" si="314"/>
        <v>0</v>
      </c>
      <c r="O773" s="614">
        <f t="shared" si="311"/>
        <v>0</v>
      </c>
      <c r="P773" s="614">
        <f t="shared" si="312"/>
        <v>0</v>
      </c>
    </row>
    <row r="774" spans="1:16" ht="18.75" hidden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</row>
    <row r="775" spans="1:16" ht="18.75" hidden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</row>
    <row r="776" spans="1:16" ht="18.75" hidden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</row>
    <row r="777" spans="1:16" ht="18.75" hidden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</row>
    <row r="778" spans="1:16" ht="18.75" hidden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</row>
    <row r="779" spans="1:16" ht="18.75" hidden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</row>
    <row r="780" spans="1:16" ht="19.5" hidden="1">
      <c r="A780" s="564"/>
      <c r="B780" s="572"/>
      <c r="C780" s="726"/>
      <c r="D780" s="805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5">L781+L782</f>
        <v>0</v>
      </c>
      <c r="M780" s="614">
        <f t="shared" si="315"/>
        <v>0</v>
      </c>
      <c r="N780" s="614">
        <f t="shared" si="315"/>
        <v>0</v>
      </c>
      <c r="O780" s="614">
        <f t="shared" ref="O780:O782" si="316">IF(L780&gt;0,N780*100/L780,0)</f>
        <v>0</v>
      </c>
      <c r="P780" s="614">
        <f t="shared" ref="P780:P782" si="317">IF(M780&gt;0,N780*100/M780,0)</f>
        <v>0</v>
      </c>
    </row>
    <row r="781" spans="1:16" ht="18.75" hidden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</row>
    <row r="782" spans="1:16" ht="18.75" hidden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</row>
    <row r="783" spans="1:16" ht="19.5" hidden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</row>
    <row r="784" spans="1:16" ht="18.75" hidden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</row>
    <row r="785" spans="1:16" ht="19.5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871" t="s">
        <v>46</v>
      </c>
      <c r="I785" s="872">
        <f t="shared" ref="I785:J785" ca="1" si="318">I801+I803</f>
        <v>2000</v>
      </c>
      <c r="J785" s="872">
        <f t="shared" ca="1" si="318"/>
        <v>0</v>
      </c>
      <c r="K785" s="873">
        <f ca="1">IF(I785&gt;0,J785*100/I785,0)</f>
        <v>0</v>
      </c>
      <c r="L785" s="776"/>
      <c r="M785" s="776"/>
      <c r="N785" s="776"/>
      <c r="O785" s="776"/>
      <c r="P785" s="776"/>
    </row>
    <row r="786" spans="1:16" ht="19.5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874" t="s">
        <v>12</v>
      </c>
      <c r="I786" s="875"/>
      <c r="J786" s="875"/>
      <c r="K786" s="876"/>
      <c r="L786" s="195">
        <f t="shared" ref="L786:N786" ca="1" si="319">L787+L788</f>
        <v>137280</v>
      </c>
      <c r="M786" s="195">
        <f t="shared" si="319"/>
        <v>0</v>
      </c>
      <c r="N786" s="195">
        <f t="shared" si="319"/>
        <v>12811.44</v>
      </c>
      <c r="O786" s="195">
        <f t="shared" ref="O786:O791" ca="1" si="320">IF(L786&gt;0,N786*100/L786,0)</f>
        <v>9.3323426573426573</v>
      </c>
      <c r="P786" s="195">
        <f t="shared" ref="P786:P791" si="321">IF(M786&gt;0,N786*100/M786,0)</f>
        <v>0</v>
      </c>
    </row>
    <row r="787" spans="1:16" ht="18.75" hidden="1">
      <c r="A787" s="564"/>
      <c r="B787" s="572"/>
      <c r="C787" s="726"/>
      <c r="D787" s="687"/>
      <c r="E787" s="726" t="s">
        <v>184</v>
      </c>
      <c r="F787" s="726"/>
      <c r="G787" s="568"/>
      <c r="H787" s="877" t="s">
        <v>12</v>
      </c>
      <c r="I787" s="875"/>
      <c r="J787" s="875"/>
      <c r="K787" s="87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</row>
    <row r="788" spans="1:16" ht="18.75" hidden="1">
      <c r="A788" s="564"/>
      <c r="B788" s="572"/>
      <c r="C788" s="572"/>
      <c r="D788" s="581"/>
      <c r="E788" s="726" t="s">
        <v>185</v>
      </c>
      <c r="F788" s="726"/>
      <c r="G788" s="568"/>
      <c r="H788" s="877" t="s">
        <v>12</v>
      </c>
      <c r="I788" s="875"/>
      <c r="J788" s="875"/>
      <c r="K788" s="876"/>
      <c r="L788" s="93">
        <f t="shared" ca="1" si="322"/>
        <v>137280</v>
      </c>
      <c r="M788" s="93">
        <f t="shared" si="322"/>
        <v>0</v>
      </c>
      <c r="N788" s="93">
        <f t="shared" si="322"/>
        <v>12811.44</v>
      </c>
      <c r="O788" s="93">
        <f t="shared" ca="1" si="320"/>
        <v>9.3323426573426573</v>
      </c>
      <c r="P788" s="93">
        <f t="shared" si="321"/>
        <v>0</v>
      </c>
    </row>
    <row r="789" spans="1:16" ht="18.75">
      <c r="A789" s="562"/>
      <c r="B789" s="539"/>
      <c r="C789" s="539"/>
      <c r="D789" s="571" t="s">
        <v>20</v>
      </c>
      <c r="E789" s="730"/>
      <c r="F789" s="730"/>
      <c r="G789" s="189"/>
      <c r="H789" s="878" t="s">
        <v>12</v>
      </c>
      <c r="I789" s="879"/>
      <c r="J789" s="879"/>
      <c r="K789" s="880"/>
      <c r="L789" s="466">
        <f t="shared" ref="L789:N789" ca="1" si="323">L790+L791</f>
        <v>137280</v>
      </c>
      <c r="M789" s="466">
        <f t="shared" si="323"/>
        <v>0</v>
      </c>
      <c r="N789" s="466">
        <f t="shared" si="323"/>
        <v>12811.44</v>
      </c>
      <c r="O789" s="466">
        <f t="shared" ca="1" si="320"/>
        <v>9.3323426573426573</v>
      </c>
      <c r="P789" s="466">
        <f t="shared" si="321"/>
        <v>0</v>
      </c>
    </row>
    <row r="790" spans="1:16" ht="18.75" hidden="1">
      <c r="A790" s="564"/>
      <c r="B790" s="572"/>
      <c r="C790" s="572"/>
      <c r="D790" s="581"/>
      <c r="E790" s="726" t="s">
        <v>184</v>
      </c>
      <c r="F790" s="726"/>
      <c r="G790" s="568"/>
      <c r="H790" s="877" t="s">
        <v>12</v>
      </c>
      <c r="I790" s="875"/>
      <c r="J790" s="875"/>
      <c r="K790" s="87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</row>
    <row r="791" spans="1:16" ht="18.75" hidden="1">
      <c r="A791" s="564"/>
      <c r="B791" s="572"/>
      <c r="C791" s="572"/>
      <c r="D791" s="581"/>
      <c r="E791" s="726" t="s">
        <v>185</v>
      </c>
      <c r="F791" s="726"/>
      <c r="G791" s="568"/>
      <c r="H791" s="877" t="s">
        <v>12</v>
      </c>
      <c r="I791" s="875"/>
      <c r="J791" s="875"/>
      <c r="K791" s="876"/>
      <c r="L791" s="93">
        <f ca="1">IFERROR(__xludf.DUMMYFUNCTION("IMPORTRANGE(""https://docs.google.com/spreadsheets/d/1QqKyyYR6Q21VydFLVH3TRQUabQu_ym0Zz7PgGX0-kHA/edit?usp=sharing"",""แผน!JJ16"")"),137280)</f>
        <v>137280</v>
      </c>
      <c r="M791" s="93">
        <v>0</v>
      </c>
      <c r="N791" s="93">
        <f>N792+N793+N794+N795</f>
        <v>12811.44</v>
      </c>
      <c r="O791" s="93">
        <f t="shared" ca="1" si="320"/>
        <v>9.3323426573426573</v>
      </c>
      <c r="P791" s="93">
        <f t="shared" si="321"/>
        <v>0</v>
      </c>
    </row>
    <row r="792" spans="1:16" ht="18.75">
      <c r="A792" s="538"/>
      <c r="B792" s="539"/>
      <c r="C792" s="730"/>
      <c r="D792" s="730"/>
      <c r="E792" s="730"/>
      <c r="F792" s="730" t="s">
        <v>186</v>
      </c>
      <c r="G792" s="189"/>
      <c r="H792" s="878" t="s">
        <v>12</v>
      </c>
      <c r="I792" s="875"/>
      <c r="J792" s="875"/>
      <c r="K792" s="876"/>
      <c r="L792" s="466"/>
      <c r="M792" s="466"/>
      <c r="N792" s="801">
        <v>0</v>
      </c>
      <c r="O792" s="466"/>
      <c r="P792" s="466"/>
    </row>
    <row r="793" spans="1:16" ht="18.75">
      <c r="A793" s="538"/>
      <c r="B793" s="539"/>
      <c r="C793" s="730"/>
      <c r="D793" s="730"/>
      <c r="E793" s="730"/>
      <c r="F793" s="730" t="s">
        <v>187</v>
      </c>
      <c r="G793" s="189"/>
      <c r="H793" s="878" t="s">
        <v>12</v>
      </c>
      <c r="I793" s="875"/>
      <c r="J793" s="875"/>
      <c r="K793" s="876"/>
      <c r="L793" s="466"/>
      <c r="M793" s="466"/>
      <c r="N793" s="801">
        <v>0</v>
      </c>
      <c r="O793" s="466"/>
      <c r="P793" s="466"/>
    </row>
    <row r="794" spans="1:16" ht="18.75">
      <c r="A794" s="538"/>
      <c r="B794" s="539"/>
      <c r="C794" s="730"/>
      <c r="D794" s="730"/>
      <c r="E794" s="730"/>
      <c r="F794" s="730" t="s">
        <v>188</v>
      </c>
      <c r="G794" s="189"/>
      <c r="H794" s="878" t="s">
        <v>12</v>
      </c>
      <c r="I794" s="875"/>
      <c r="J794" s="875"/>
      <c r="K794" s="876"/>
      <c r="L794" s="466"/>
      <c r="M794" s="466"/>
      <c r="N794" s="801">
        <v>4080</v>
      </c>
      <c r="O794" s="466"/>
      <c r="P794" s="466"/>
    </row>
    <row r="795" spans="1:16" ht="18.75">
      <c r="A795" s="538"/>
      <c r="B795" s="539"/>
      <c r="C795" s="730"/>
      <c r="D795" s="730"/>
      <c r="E795" s="730"/>
      <c r="F795" s="730" t="s">
        <v>189</v>
      </c>
      <c r="G795" s="189"/>
      <c r="H795" s="878" t="s">
        <v>12</v>
      </c>
      <c r="I795" s="875"/>
      <c r="J795" s="875"/>
      <c r="K795" s="876"/>
      <c r="L795" s="466"/>
      <c r="M795" s="466"/>
      <c r="N795" s="801">
        <f>7663.58+1067.86</f>
        <v>8731.44</v>
      </c>
      <c r="O795" s="466"/>
      <c r="P795" s="466"/>
    </row>
    <row r="796" spans="1:16" ht="18.75">
      <c r="A796" s="562"/>
      <c r="B796" s="539"/>
      <c r="C796" s="730"/>
      <c r="D796" s="571" t="s">
        <v>21</v>
      </c>
      <c r="E796" s="730"/>
      <c r="F796" s="730"/>
      <c r="G796" s="189"/>
      <c r="H796" s="881" t="s">
        <v>12</v>
      </c>
      <c r="I796" s="879"/>
      <c r="J796" s="879"/>
      <c r="K796" s="880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</row>
    <row r="797" spans="1:16" ht="18.75" hidden="1">
      <c r="A797" s="564"/>
      <c r="B797" s="572"/>
      <c r="C797" s="726"/>
      <c r="D797" s="726"/>
      <c r="E797" s="726" t="s">
        <v>18</v>
      </c>
      <c r="F797" s="726"/>
      <c r="G797" s="568"/>
      <c r="H797" s="877" t="s">
        <v>12</v>
      </c>
      <c r="I797" s="879"/>
      <c r="J797" s="879"/>
      <c r="K797" s="88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</row>
    <row r="798" spans="1:16" ht="18.75" hidden="1">
      <c r="A798" s="564"/>
      <c r="B798" s="572"/>
      <c r="C798" s="726"/>
      <c r="D798" s="726"/>
      <c r="E798" s="726" t="s">
        <v>19</v>
      </c>
      <c r="F798" s="726"/>
      <c r="G798" s="568"/>
      <c r="H798" s="882" t="s">
        <v>12</v>
      </c>
      <c r="I798" s="879"/>
      <c r="J798" s="879"/>
      <c r="K798" s="88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</row>
    <row r="799" spans="1:16" ht="19.5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883"/>
      <c r="I799" s="879"/>
      <c r="J799" s="879"/>
      <c r="K799" s="880"/>
      <c r="L799" s="163"/>
      <c r="M799" s="163"/>
      <c r="N799" s="163"/>
      <c r="O799" s="163"/>
      <c r="P799" s="163"/>
    </row>
    <row r="800" spans="1:16" ht="18.75">
      <c r="A800" s="573"/>
      <c r="B800" s="585"/>
      <c r="C800" s="585"/>
      <c r="D800" s="585"/>
      <c r="E800" s="593"/>
      <c r="F800" s="593" t="s">
        <v>320</v>
      </c>
      <c r="G800" s="729"/>
      <c r="H800" s="884" t="s">
        <v>34</v>
      </c>
      <c r="I800" s="879"/>
      <c r="J800" s="885">
        <f ca="1">IFERROR(__xludf.DUMMYFUNCTION("IMPORTRANGE(""https://docs.google.com/spreadsheets/d/1MaWodYyGHDf7siQLGxnXhG4mBNTNIuy296niS2xXulU/edit?usp=sharing"",""RTK!H16"")"),0)</f>
        <v>0</v>
      </c>
      <c r="K800" s="876"/>
      <c r="L800" s="466"/>
      <c r="M800" s="466"/>
      <c r="N800" s="466"/>
      <c r="O800" s="163"/>
      <c r="P800" s="163"/>
    </row>
    <row r="801" spans="1:16" ht="18.75">
      <c r="A801" s="573"/>
      <c r="B801" s="585"/>
      <c r="C801" s="585"/>
      <c r="D801" s="585"/>
      <c r="E801" s="593"/>
      <c r="F801" s="593"/>
      <c r="G801" s="729"/>
      <c r="H801" s="878" t="s">
        <v>46</v>
      </c>
      <c r="I801" s="885">
        <f ca="1">IFERROR(__xludf.DUMMYFUNCTION("IMPORTRANGE(""https://docs.google.com/spreadsheets/d/1MaWodYyGHDf7siQLGxnXhG4mBNTNIuy296niS2xXulU/edit?usp=sharing"",""RTK!G16"")"),2000)</f>
        <v>2000</v>
      </c>
      <c r="J801" s="886">
        <f ca="1">IFERROR(__xludf.DUMMYFUNCTION("IMPORTRANGE(""https://docs.google.com/spreadsheets/d/1MaWodYyGHDf7siQLGxnXhG4mBNTNIuy296niS2xXulU/edit?usp=sharing"",""RTK!I16"")"),0)</f>
        <v>0</v>
      </c>
      <c r="K801" s="887">
        <f ca="1">IF(I801&gt;0,J801*100/I801,0)</f>
        <v>0</v>
      </c>
      <c r="L801" s="466"/>
      <c r="M801" s="466"/>
      <c r="N801" s="466"/>
      <c r="O801" s="163"/>
      <c r="P801" s="163"/>
    </row>
    <row r="802" spans="1:16" ht="18.75">
      <c r="A802" s="780"/>
      <c r="B802" s="781"/>
      <c r="C802" s="781"/>
      <c r="D802" s="781"/>
      <c r="E802" s="783"/>
      <c r="F802" s="783" t="s">
        <v>321</v>
      </c>
      <c r="G802" s="333"/>
      <c r="H802" s="888" t="s">
        <v>34</v>
      </c>
      <c r="I802" s="889"/>
      <c r="J802" s="890">
        <f ca="1">IFERROR(__xludf.DUMMYFUNCTION("IMPORTRANGE(""https://docs.google.com/spreadsheets/d/1MaWodYyGHDf7siQLGxnXhG4mBNTNIuy296niS2xXulU/edit?usp=sharing"",""RTK!L16"")"),0)</f>
        <v>0</v>
      </c>
      <c r="K802" s="891"/>
      <c r="L802" s="321"/>
      <c r="M802" s="321"/>
      <c r="N802" s="321"/>
      <c r="O802" s="321"/>
      <c r="P802" s="321"/>
    </row>
    <row r="803" spans="1:16" ht="18.75">
      <c r="A803" s="780"/>
      <c r="B803" s="781"/>
      <c r="C803" s="781"/>
      <c r="D803" s="781"/>
      <c r="E803" s="783"/>
      <c r="F803" s="783"/>
      <c r="G803" s="333"/>
      <c r="H803" s="888" t="s">
        <v>46</v>
      </c>
      <c r="I803" s="890">
        <f ca="1">IFERROR(__xludf.DUMMYFUNCTION("IMPORTRANGE(""https://docs.google.com/spreadsheets/d/1MaWodYyGHDf7siQLGxnXhG4mBNTNIuy296niS2xXulU/edit?usp=sharing"",""RTK!K16"")"),0)</f>
        <v>0</v>
      </c>
      <c r="J803" s="892">
        <f ca="1">IFERROR(__xludf.DUMMYFUNCTION("IMPORTRANGE(""https://docs.google.com/spreadsheets/d/1MaWodYyGHDf7siQLGxnXhG4mBNTNIuy296niS2xXulU/edit?usp=sharing"",""RTK!M16"")"),0)</f>
        <v>0</v>
      </c>
      <c r="K803" s="893">
        <f t="shared" ref="K803:K804" ca="1" si="327">IF(I803&gt;0,J803*100/I803,0)</f>
        <v>0</v>
      </c>
      <c r="L803" s="321"/>
      <c r="M803" s="321"/>
      <c r="N803" s="321"/>
      <c r="O803" s="321"/>
      <c r="P803" s="321"/>
    </row>
    <row r="804" spans="1:16" ht="19.5" hidden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 t="shared" si="327"/>
        <v>0</v>
      </c>
      <c r="L804" s="767"/>
      <c r="M804" s="767"/>
      <c r="N804" s="767"/>
      <c r="O804" s="767"/>
      <c r="P804" s="767"/>
    </row>
    <row r="805" spans="1:16" ht="19.5" hidden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8">L806+L807</f>
        <v>0</v>
      </c>
      <c r="M805" s="614">
        <f t="shared" si="328"/>
        <v>0</v>
      </c>
      <c r="N805" s="614">
        <f t="shared" si="328"/>
        <v>0</v>
      </c>
      <c r="O805" s="614">
        <f t="shared" ref="O805:O810" si="329">IF(L805&gt;0,N805*100/L805,0)</f>
        <v>0</v>
      </c>
      <c r="P805" s="614">
        <f t="shared" ref="P805:P810" si="330">IF(M805&gt;0,N805*100/M805,0)</f>
        <v>0</v>
      </c>
    </row>
    <row r="806" spans="1:16" ht="18.75" hidden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</row>
    <row r="807" spans="1:16" ht="18.75" hidden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</row>
    <row r="808" spans="1:16" ht="19.5" hidden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2">L809+L810</f>
        <v>0</v>
      </c>
      <c r="M808" s="614">
        <f t="shared" si="332"/>
        <v>0</v>
      </c>
      <c r="N808" s="614">
        <f t="shared" si="332"/>
        <v>0</v>
      </c>
      <c r="O808" s="614">
        <f t="shared" si="329"/>
        <v>0</v>
      </c>
      <c r="P808" s="614">
        <f t="shared" si="330"/>
        <v>0</v>
      </c>
    </row>
    <row r="809" spans="1:16" ht="18.75" hidden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</row>
    <row r="810" spans="1:16" ht="18.75" hidden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</row>
    <row r="811" spans="1:16" ht="18.75" hidden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</row>
    <row r="812" spans="1:16" ht="18.75" hidden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</row>
    <row r="813" spans="1:16" ht="18.75" hidden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</row>
    <row r="814" spans="1:16" ht="18.75" hidden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</row>
    <row r="815" spans="1:16" ht="19.5" hidden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3">L816+L817</f>
        <v>0</v>
      </c>
      <c r="M815" s="614">
        <f t="shared" si="333"/>
        <v>0</v>
      </c>
      <c r="N815" s="614">
        <f t="shared" si="333"/>
        <v>0</v>
      </c>
      <c r="O815" s="614">
        <f t="shared" ref="O815:O817" si="334">IF(L815&gt;0,N815*100/L815,0)</f>
        <v>0</v>
      </c>
      <c r="P815" s="614">
        <f t="shared" ref="P815:P817" si="335">IF(M815&gt;0,N815*100/M815,0)</f>
        <v>0</v>
      </c>
    </row>
    <row r="816" spans="1:16" ht="18.75" hidden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</row>
    <row r="817" spans="1:16" ht="18.75" hidden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</row>
    <row r="818" spans="1:16" ht="19.5" hidden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</row>
    <row r="819" spans="1:1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</row>
    <row r="820" spans="1:16" ht="19.5">
      <c r="A820" s="855" t="s">
        <v>332</v>
      </c>
      <c r="B820" s="856"/>
      <c r="C820" s="856"/>
      <c r="D820" s="857"/>
      <c r="E820" s="856"/>
      <c r="F820" s="856"/>
      <c r="G820" s="858"/>
      <c r="H820" s="8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60"/>
      <c r="J820" s="860"/>
      <c r="K820" s="861"/>
      <c r="L820" s="861"/>
      <c r="M820" s="861"/>
      <c r="N820" s="861"/>
      <c r="O820" s="861"/>
      <c r="P820" s="861"/>
    </row>
    <row r="821" spans="1:1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IFERROR(__xludf.DUMMYFUNCTION("IMPORTRANGE(""https://docs.google.com/spreadsheets/d/19vJNZY_5yjcGF2XGBMNZRCAIB0Kwfpjp8YEOfu-bneM/edit?usp=sharing"",""งานกองทุน!D16"")"),2333245.96)</f>
        <v>2333245.96</v>
      </c>
      <c r="J821" s="270">
        <f ca="1">IFERROR(__xludf.DUMMYFUNCTION("IMPORTRANGE(""https://docs.google.com/spreadsheets/d/19vJNZY_5yjcGF2XGBMNZRCAIB0Kwfpjp8YEOfu-bneM/edit?usp=sharing"",""งานกองทุน!F16"")"),630995.02)</f>
        <v>630995.02</v>
      </c>
      <c r="K821" s="466">
        <f t="shared" ref="K821:K828" ca="1" si="336">IF(I821&gt;0,J821*100/I821,0)</f>
        <v>27.043656383315884</v>
      </c>
      <c r="L821" s="466"/>
      <c r="M821" s="466"/>
      <c r="N821" s="466"/>
      <c r="O821" s="466"/>
      <c r="P821" s="466"/>
    </row>
    <row r="822" spans="1:1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IFERROR(__xludf.DUMMYFUNCTION("IMPORTRANGE(""https://docs.google.com/spreadsheets/d/19vJNZY_5yjcGF2XGBMNZRCAIB0Kwfpjp8YEOfu-bneM/edit?usp=sharing"",""งานกองทุน!C16"")"),129)</f>
        <v>129</v>
      </c>
      <c r="J822" s="270">
        <f ca="1">IFERROR(__xludf.DUMMYFUNCTION("IMPORTRANGE(""https://docs.google.com/spreadsheets/d/19vJNZY_5yjcGF2XGBMNZRCAIB0Kwfpjp8YEOfu-bneM/edit?usp=sharing"",""งานกองทุน!E16"")"),29)</f>
        <v>29</v>
      </c>
      <c r="K822" s="466">
        <f t="shared" ca="1" si="336"/>
        <v>22.480620155038761</v>
      </c>
      <c r="L822" s="466"/>
      <c r="M822" s="466"/>
      <c r="N822" s="466"/>
      <c r="O822" s="466"/>
      <c r="P822" s="466"/>
    </row>
    <row r="823" spans="1:1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IFERROR(__xludf.DUMMYFUNCTION("IMPORTRANGE(""https://docs.google.com/spreadsheets/d/19vJNZY_5yjcGF2XGBMNZRCAIB0Kwfpjp8YEOfu-bneM/edit?usp=sharing"",""งานกองทุน!I16"")"),635752.33)</f>
        <v>635752.32999999996</v>
      </c>
      <c r="J823" s="270">
        <f ca="1">IFERROR(__xludf.DUMMYFUNCTION("IMPORTRANGE(""https://docs.google.com/spreadsheets/d/19vJNZY_5yjcGF2XGBMNZRCAIB0Kwfpjp8YEOfu-bneM/edit?usp=sharing"",""งานกองทุน!K16"")"),33608.06)</f>
        <v>33608.06</v>
      </c>
      <c r="K823" s="466">
        <f t="shared" ca="1" si="336"/>
        <v>5.2863447625901747</v>
      </c>
      <c r="L823" s="466"/>
      <c r="M823" s="466"/>
      <c r="N823" s="466"/>
      <c r="O823" s="466"/>
      <c r="P823" s="466"/>
    </row>
    <row r="824" spans="1:1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IFERROR(__xludf.DUMMYFUNCTION("IMPORTRANGE(""https://docs.google.com/spreadsheets/d/19vJNZY_5yjcGF2XGBMNZRCAIB0Kwfpjp8YEOfu-bneM/edit?usp=sharing"",""งานกองทุน!H16"")"),39)</f>
        <v>39</v>
      </c>
      <c r="J824" s="270">
        <f ca="1">IFERROR(__xludf.DUMMYFUNCTION("IMPORTRANGE(""https://docs.google.com/spreadsheets/d/19vJNZY_5yjcGF2XGBMNZRCAIB0Kwfpjp8YEOfu-bneM/edit?usp=sharing"",""งานกองทุน!J16"")"),17)</f>
        <v>17</v>
      </c>
      <c r="K824" s="466">
        <f t="shared" ca="1" si="336"/>
        <v>43.589743589743591</v>
      </c>
      <c r="L824" s="466"/>
      <c r="M824" s="466"/>
      <c r="N824" s="466"/>
      <c r="O824" s="466"/>
      <c r="P824" s="466"/>
    </row>
    <row r="825" spans="1:1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IFERROR(__xludf.DUMMYFUNCTION("IMPORTRANGE(""https://docs.google.com/spreadsheets/d/19vJNZY_5yjcGF2XGBMNZRCAIB0Kwfpjp8YEOfu-bneM/edit?usp=sharing"",""งานกองทุน!N16"")"),76628.37)</f>
        <v>76628.37</v>
      </c>
      <c r="J825" s="270">
        <f ca="1">IFERROR(__xludf.DUMMYFUNCTION("IMPORTRANGE(""https://docs.google.com/spreadsheets/d/19vJNZY_5yjcGF2XGBMNZRCAIB0Kwfpjp8YEOfu-bneM/edit?usp=sharing"",""งานกองทุน!P16"")"),10435.76)</f>
        <v>10435.76</v>
      </c>
      <c r="K825" s="466">
        <f t="shared" ca="1" si="336"/>
        <v>13.618663688135348</v>
      </c>
      <c r="L825" s="466"/>
      <c r="M825" s="466"/>
      <c r="N825" s="466"/>
      <c r="O825" s="466"/>
      <c r="P825" s="466"/>
    </row>
    <row r="826" spans="1:1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IFERROR(__xludf.DUMMYFUNCTION("IMPORTRANGE(""https://docs.google.com/spreadsheets/d/19vJNZY_5yjcGF2XGBMNZRCAIB0Kwfpjp8YEOfu-bneM/edit?usp=sharing"",""งานกองทุน!M16"")"),21)</f>
        <v>21</v>
      </c>
      <c r="J826" s="270">
        <f ca="1">IFERROR(__xludf.DUMMYFUNCTION("IMPORTRANGE(""https://docs.google.com/spreadsheets/d/19vJNZY_5yjcGF2XGBMNZRCAIB0Kwfpjp8YEOfu-bneM/edit?usp=sharing"",""งานกองทุน!O16"")"),3)</f>
        <v>3</v>
      </c>
      <c r="K826" s="466">
        <f t="shared" ca="1" si="336"/>
        <v>14.285714285714286</v>
      </c>
      <c r="L826" s="466"/>
      <c r="M826" s="466"/>
      <c r="N826" s="466"/>
      <c r="O826" s="466"/>
      <c r="P826" s="466"/>
    </row>
    <row r="827" spans="1:1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IFERROR(__xludf.DUMMYFUNCTION("IMPORTRANGE(""https://docs.google.com/spreadsheets/d/19vJNZY_5yjcGF2XGBMNZRCAIB0Kwfpjp8YEOfu-bneM/edit?usp=sharing"",""งานกองทุน!S16"")"),2330000)</f>
        <v>2330000</v>
      </c>
      <c r="J827" s="270">
        <f ca="1">IFERROR(__xludf.DUMMYFUNCTION("IMPORTRANGE(""https://docs.google.com/spreadsheets/d/19vJNZY_5yjcGF2XGBMNZRCAIB0Kwfpjp8YEOfu-bneM/edit?usp=sharing"",""งานกองทุน!U16"")"),615000)</f>
        <v>615000</v>
      </c>
      <c r="K827" s="466">
        <f t="shared" ca="1" si="336"/>
        <v>26.394849785407725</v>
      </c>
      <c r="L827" s="466"/>
      <c r="M827" s="466"/>
      <c r="N827" s="466"/>
      <c r="O827" s="466"/>
      <c r="P827" s="466"/>
    </row>
    <row r="828" spans="1:1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IFERROR(__xludf.DUMMYFUNCTION("IMPORTRANGE(""https://docs.google.com/spreadsheets/d/19vJNZY_5yjcGF2XGBMNZRCAIB0Kwfpjp8YEOfu-bneM/edit?usp=sharing"",""งานกองทุน!R16"")"),93)</f>
        <v>93</v>
      </c>
      <c r="J828" s="469">
        <f ca="1">IFERROR(__xludf.DUMMYFUNCTION("IMPORTRANGE(""https://docs.google.com/spreadsheets/d/19vJNZY_5yjcGF2XGBMNZRCAIB0Kwfpjp8YEOfu-bneM/edit?usp=sharing"",""งานกองทุน!T16"")"),20)</f>
        <v>20</v>
      </c>
      <c r="K828" s="470">
        <f t="shared" ca="1" si="336"/>
        <v>21.50537634408602</v>
      </c>
      <c r="L828" s="470"/>
      <c r="M828" s="470"/>
      <c r="N828" s="470"/>
      <c r="O828" s="470"/>
      <c r="P828" s="47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8DB21-A0FD-4E0E-A856-79365A2E490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4" customWidth="1"/>
    <col min="4" max="6" width="5.85546875" style="804" customWidth="1"/>
    <col min="7" max="7" width="56.42578125" style="804" customWidth="1"/>
    <col min="8" max="8" width="9.42578125" style="804" customWidth="1"/>
    <col min="9" max="9" width="16.85546875" style="804" bestFit="1" customWidth="1"/>
    <col min="10" max="10" width="14.42578125" style="804" bestFit="1" customWidth="1"/>
    <col min="11" max="11" width="12.5703125" style="804" customWidth="1"/>
    <col min="12" max="13" width="20.28515625" style="804" bestFit="1" customWidth="1"/>
    <col min="14" max="14" width="21.28515625" style="804" bestFit="1" customWidth="1"/>
    <col min="15" max="16" width="17.5703125" style="804" customWidth="1"/>
    <col min="17" max="16384" width="12.5703125" style="804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336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894"/>
      <c r="M7" s="894"/>
      <c r="N7" s="894"/>
      <c r="O7" s="894"/>
      <c r="P7" s="894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4398508</v>
      </c>
      <c r="M8" s="22">
        <f t="shared" ca="1" si="0"/>
        <v>2435712</v>
      </c>
      <c r="N8" s="22">
        <f t="shared" ca="1" si="0"/>
        <v>1661773.0999999999</v>
      </c>
      <c r="O8" s="22">
        <f t="shared" ref="O8:O16" ca="1" si="1">IF(L8&gt;0,N8*100/L8,0)</f>
        <v>37.780381438433217</v>
      </c>
      <c r="P8" s="22">
        <f t="shared" ref="P8:P16" ca="1" si="2">IF(M8&gt;0,N8*100/M8,0)</f>
        <v>68.22535258684114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4398508</v>
      </c>
      <c r="M10" s="30">
        <f t="shared" ca="1" si="3"/>
        <v>2435712</v>
      </c>
      <c r="N10" s="30">
        <f t="shared" ca="1" si="3"/>
        <v>1661773.0999999999</v>
      </c>
      <c r="O10" s="30">
        <f t="shared" ca="1" si="1"/>
        <v>37.780381438433217</v>
      </c>
      <c r="P10" s="30">
        <f t="shared" ca="1" si="2"/>
        <v>68.22535258684114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4195008</v>
      </c>
      <c r="M11" s="466">
        <f t="shared" ca="1" si="4"/>
        <v>2241232</v>
      </c>
      <c r="N11" s="466">
        <f t="shared" ca="1" si="4"/>
        <v>1467293.0999999999</v>
      </c>
      <c r="O11" s="466">
        <f t="shared" ca="1" si="1"/>
        <v>34.977122808824205</v>
      </c>
      <c r="P11" s="466">
        <f t="shared" ca="1" si="2"/>
        <v>65.4681487681775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4195008</v>
      </c>
      <c r="M13" s="93">
        <f t="shared" ca="1" si="5"/>
        <v>2241232</v>
      </c>
      <c r="N13" s="93">
        <f t="shared" ca="1" si="5"/>
        <v>1467293.0999999999</v>
      </c>
      <c r="O13" s="93">
        <f t="shared" ca="1" si="1"/>
        <v>34.977122808824205</v>
      </c>
      <c r="P13" s="93">
        <f t="shared" ca="1" si="2"/>
        <v>65.4681487681775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203500</v>
      </c>
      <c r="M14" s="466">
        <f t="shared" ca="1" si="6"/>
        <v>194480</v>
      </c>
      <c r="N14" s="466">
        <f t="shared" ca="1" si="6"/>
        <v>194480</v>
      </c>
      <c r="O14" s="466">
        <f t="shared" ca="1" si="1"/>
        <v>95.567567567567565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203500</v>
      </c>
      <c r="M16" s="52">
        <f t="shared" ca="1" si="7"/>
        <v>194480</v>
      </c>
      <c r="N16" s="52">
        <f t="shared" ca="1" si="7"/>
        <v>194480</v>
      </c>
      <c r="O16" s="52">
        <f t="shared" ca="1" si="1"/>
        <v>95.567567567567565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894"/>
      <c r="M17" s="894"/>
      <c r="N17" s="894"/>
      <c r="O17" s="894"/>
      <c r="P17" s="894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3106670</v>
      </c>
      <c r="M18" s="22">
        <f t="shared" ca="1" si="8"/>
        <v>2435712</v>
      </c>
      <c r="N18" s="22">
        <f t="shared" ca="1" si="8"/>
        <v>1327102.8999999999</v>
      </c>
      <c r="O18" s="22">
        <f t="shared" ref="O18:O26" ca="1" si="9">IF(L18&gt;0,N18*100/L18,0)</f>
        <v>42.717858671825454</v>
      </c>
      <c r="P18" s="22">
        <f t="shared" ref="P18:P26" ca="1" si="10">IF(M18&gt;0,N18*100/M18,0)</f>
        <v>54.485214179673122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3106670</v>
      </c>
      <c r="M20" s="30">
        <f t="shared" ca="1" si="11"/>
        <v>2435712</v>
      </c>
      <c r="N20" s="30">
        <f t="shared" ca="1" si="11"/>
        <v>1327102.8999999999</v>
      </c>
      <c r="O20" s="30">
        <f t="shared" ca="1" si="9"/>
        <v>42.717858671825454</v>
      </c>
      <c r="P20" s="30">
        <f t="shared" ca="1" si="10"/>
        <v>54.485214179673122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2903170</v>
      </c>
      <c r="M21" s="466">
        <f t="shared" ca="1" si="12"/>
        <v>2241232</v>
      </c>
      <c r="N21" s="466">
        <f t="shared" ca="1" si="12"/>
        <v>1132622.8999999999</v>
      </c>
      <c r="O21" s="466">
        <f t="shared" ca="1" si="9"/>
        <v>39.013316478194518</v>
      </c>
      <c r="P21" s="466">
        <f t="shared" ca="1" si="10"/>
        <v>50.535727671209401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2903170</v>
      </c>
      <c r="M23" s="93">
        <f t="shared" ca="1" si="13"/>
        <v>2241232</v>
      </c>
      <c r="N23" s="93">
        <f t="shared" ca="1" si="13"/>
        <v>1132622.8999999999</v>
      </c>
      <c r="O23" s="93">
        <f t="shared" ca="1" si="9"/>
        <v>39.013316478194518</v>
      </c>
      <c r="P23" s="93">
        <f t="shared" ca="1" si="10"/>
        <v>50.535727671209401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203500</v>
      </c>
      <c r="M24" s="466">
        <f t="shared" ca="1" si="14"/>
        <v>194480</v>
      </c>
      <c r="N24" s="466">
        <f t="shared" ca="1" si="14"/>
        <v>194480</v>
      </c>
      <c r="O24" s="466">
        <f t="shared" ca="1" si="9"/>
        <v>95.567567567567565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203500</v>
      </c>
      <c r="M26" s="52">
        <f t="shared" ca="1" si="15"/>
        <v>194480</v>
      </c>
      <c r="N26" s="52">
        <f t="shared" ca="1" si="15"/>
        <v>194480</v>
      </c>
      <c r="O26" s="52">
        <f t="shared" ca="1" si="9"/>
        <v>95.567567567567565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894"/>
      <c r="M27" s="894"/>
      <c r="N27" s="894"/>
      <c r="O27" s="894"/>
      <c r="P27" s="894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1291838</v>
      </c>
      <c r="M28" s="22">
        <f t="shared" si="16"/>
        <v>0</v>
      </c>
      <c r="N28" s="22">
        <f t="shared" si="16"/>
        <v>334670.2</v>
      </c>
      <c r="O28" s="22">
        <f t="shared" ref="O28:O37" ca="1" si="17">IF(L28&gt;0,N28*100/L28,0)</f>
        <v>25.906514593935153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1291838</v>
      </c>
      <c r="M30" s="30">
        <f t="shared" si="19"/>
        <v>0</v>
      </c>
      <c r="N30" s="30">
        <f t="shared" si="19"/>
        <v>334670.2</v>
      </c>
      <c r="O30" s="30">
        <f t="shared" ca="1" si="17"/>
        <v>25.906514593935153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1291838</v>
      </c>
      <c r="M31" s="466">
        <f t="shared" si="20"/>
        <v>0</v>
      </c>
      <c r="N31" s="466">
        <f t="shared" si="20"/>
        <v>334670.2</v>
      </c>
      <c r="O31" s="466">
        <f t="shared" ca="1" si="17"/>
        <v>25.906514593935153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1291838</v>
      </c>
      <c r="M33" s="93">
        <f t="shared" si="21"/>
        <v>0</v>
      </c>
      <c r="N33" s="93">
        <f t="shared" si="21"/>
        <v>334670.2</v>
      </c>
      <c r="O33" s="93">
        <f t="shared" ca="1" si="17"/>
        <v>25.906514593935153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3106670</v>
      </c>
      <c r="M37" s="812">
        <f t="shared" ca="1" si="24"/>
        <v>2435712</v>
      </c>
      <c r="N37" s="812">
        <f t="shared" ca="1" si="24"/>
        <v>1327102.8999999999</v>
      </c>
      <c r="O37" s="812">
        <f t="shared" ca="1" si="17"/>
        <v>42.717858671825454</v>
      </c>
      <c r="P37" s="812">
        <f t="shared" ca="1" si="18"/>
        <v>54.485214179673122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895"/>
      <c r="M40" s="895"/>
      <c r="N40" s="895"/>
      <c r="O40" s="895"/>
      <c r="P40" s="895"/>
    </row>
    <row r="41" spans="1:2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405400</v>
      </c>
      <c r="M41" s="85">
        <f t="shared" ca="1" si="25"/>
        <v>416277</v>
      </c>
      <c r="N41" s="85">
        <f t="shared" ca="1" si="25"/>
        <v>188146</v>
      </c>
      <c r="O41" s="85">
        <f t="shared" ref="O41:O49" ca="1" si="26">IF(L41&gt;0,N41*100/L41,0)</f>
        <v>46.409965466206216</v>
      </c>
      <c r="P41" s="85">
        <f t="shared" ref="P41:P49" ca="1" si="27">IF(M41&gt;0,N41*100/M41,0)</f>
        <v>45.197308522930648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405400</v>
      </c>
      <c r="M43" s="92">
        <f t="shared" ca="1" si="28"/>
        <v>416277</v>
      </c>
      <c r="N43" s="92">
        <f t="shared" ca="1" si="28"/>
        <v>188146</v>
      </c>
      <c r="O43" s="92">
        <f t="shared" ca="1" si="26"/>
        <v>46.409965466206216</v>
      </c>
      <c r="P43" s="92">
        <f t="shared" ca="1" si="27"/>
        <v>45.197308522930648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405400</v>
      </c>
      <c r="M44" s="466">
        <f t="shared" ca="1" si="29"/>
        <v>416277</v>
      </c>
      <c r="N44" s="466">
        <f t="shared" ca="1" si="29"/>
        <v>188146</v>
      </c>
      <c r="O44" s="466">
        <f t="shared" ca="1" si="26"/>
        <v>46.409965466206216</v>
      </c>
      <c r="P44" s="466">
        <f t="shared" ca="1" si="27"/>
        <v>45.197308522930648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IFERROR(__xludf.DUMMYFUNCTION("IMPORTRANGE(""https://docs.google.com/spreadsheets/d/1MeEWN-I1oV_STSDYn1IFDPWt_1FKiwhDph83XaGc0o0/edit?usp=sharing"",""งบพรบ!M17"")"),405400)</f>
        <v>405400</v>
      </c>
      <c r="M46" s="93">
        <f ca="1">IFERROR(__xludf.DUMMYFUNCTION("IMPORTRANGE(""https://docs.google.com/spreadsheets/d/1MeEWN-I1oV_STSDYn1IFDPWt_1FKiwhDph83XaGc0o0/edit?usp=sharing"",""งบพรบ!R17"")"),416277)</f>
        <v>416277</v>
      </c>
      <c r="N46" s="93">
        <f ca="1">IFERROR(__xludf.DUMMYFUNCTION("IMPORTRANGE(""https://docs.google.com/spreadsheets/d/1MeEWN-I1oV_STSDYn1IFDPWt_1FKiwhDph83XaGc0o0/edit?usp=sharing"",""งบพรบ!T17"")"),188146)</f>
        <v>188146</v>
      </c>
      <c r="O46" s="93">
        <f t="shared" ca="1" si="26"/>
        <v>46.409965466206216</v>
      </c>
      <c r="P46" s="93">
        <f t="shared" ca="1" si="27"/>
        <v>45.197308522930648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IFERROR(__xludf.DUMMYFUNCTION("IMPORTRANGE(""https://docs.google.com/spreadsheets/d/1MeEWN-I1oV_STSDYn1IFDPWt_1FKiwhDph83XaGc0o0/edit?usp=sharing"",""งบพรบ!P17"")"),0)</f>
        <v>0</v>
      </c>
      <c r="M49" s="52">
        <f ca="1">IFERROR(__xludf.DUMMYFUNCTION("IMPORTRANGE(""https://docs.google.com/spreadsheets/d/1MeEWN-I1oV_STSDYn1IFDPWt_1FKiwhDph83XaGc0o0/edit?usp=sharing"",""งบพรบ!S17"")"),0)</f>
        <v>0</v>
      </c>
      <c r="N49" s="52">
        <f ca="1">IFERROR(__xludf.DUMMYFUNCTION("IMPORTRANGE(""https://docs.google.com/spreadsheets/d/1MeEWN-I1oV_STSDYn1IFDPWt_1FKiwhDph83XaGc0o0/edit?usp=sharing"",""งบพรบ!U17"")"),0)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 hidden="1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 hidden="1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896"/>
      <c r="M52" s="896"/>
      <c r="N52" s="896"/>
      <c r="O52" s="896"/>
      <c r="P52" s="896"/>
    </row>
    <row r="53" spans="1:2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724500</v>
      </c>
      <c r="M53" s="116">
        <f t="shared" ca="1" si="31"/>
        <v>545350</v>
      </c>
      <c r="N53" s="116">
        <f t="shared" ca="1" si="31"/>
        <v>293923.76</v>
      </c>
      <c r="O53" s="116">
        <f t="shared" ref="O53:O61" ca="1" si="32">IF(L53&gt;0,N53*100/L53,0)</f>
        <v>40.569187025534852</v>
      </c>
      <c r="P53" s="116">
        <f t="shared" ref="P53:P61" ca="1" si="33">IF(M53&gt;0,N53*100/M53,0)</f>
        <v>53.896352800953515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724500</v>
      </c>
      <c r="M55" s="123">
        <f t="shared" ca="1" si="34"/>
        <v>545350</v>
      </c>
      <c r="N55" s="123">
        <f t="shared" ca="1" si="34"/>
        <v>293923.76</v>
      </c>
      <c r="O55" s="123">
        <f t="shared" ca="1" si="32"/>
        <v>40.569187025534852</v>
      </c>
      <c r="P55" s="123">
        <f t="shared" ca="1" si="33"/>
        <v>53.896352800953515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696600</v>
      </c>
      <c r="M56" s="466">
        <f t="shared" ca="1" si="35"/>
        <v>522450</v>
      </c>
      <c r="N56" s="466">
        <f t="shared" ca="1" si="35"/>
        <v>271023.76</v>
      </c>
      <c r="O56" s="466">
        <f t="shared" ca="1" si="32"/>
        <v>38.906655182314097</v>
      </c>
      <c r="P56" s="466">
        <f t="shared" ca="1" si="33"/>
        <v>51.87554024308546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IFERROR(__xludf.DUMMYFUNCTION("IMPORTRANGE(""https://docs.google.com/spreadsheets/d/1MeEWN-I1oV_STSDYn1IFDPWt_1FKiwhDph83XaGc0o0/edit?usp=sharing"",""งบพรบ!W17"")"),696600)</f>
        <v>696600</v>
      </c>
      <c r="M58" s="93">
        <f ca="1">IFERROR(__xludf.DUMMYFUNCTION("IMPORTRANGE(""https://docs.google.com/spreadsheets/d/1MeEWN-I1oV_STSDYn1IFDPWt_1FKiwhDph83XaGc0o0/edit?usp=sharing"",""งบพรบ!AB17"")"),522450)</f>
        <v>522450</v>
      </c>
      <c r="N58" s="93">
        <f ca="1">IFERROR(__xludf.DUMMYFUNCTION("IMPORTRANGE(""https://docs.google.com/spreadsheets/d/1MeEWN-I1oV_STSDYn1IFDPWt_1FKiwhDph83XaGc0o0/edit?usp=sharing"",""งบพรบ!AD17"")"),271023.76)</f>
        <v>271023.76</v>
      </c>
      <c r="O58" s="93">
        <f t="shared" ca="1" si="32"/>
        <v>38.906655182314097</v>
      </c>
      <c r="P58" s="93">
        <f t="shared" ca="1" si="33"/>
        <v>51.87554024308546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27900</v>
      </c>
      <c r="M59" s="466">
        <f t="shared" ca="1" si="36"/>
        <v>22900</v>
      </c>
      <c r="N59" s="466">
        <f t="shared" ca="1" si="36"/>
        <v>22900</v>
      </c>
      <c r="O59" s="466">
        <f t="shared" ca="1" si="32"/>
        <v>82.078853046594986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IFERROR(__xludf.DUMMYFUNCTION("IMPORTRANGE(""https://docs.google.com/spreadsheets/d/1MeEWN-I1oV_STSDYn1IFDPWt_1FKiwhDph83XaGc0o0/edit?usp=sharing"",""งบพรบ!Z17"")"),27900)</f>
        <v>27900</v>
      </c>
      <c r="M61" s="52">
        <f ca="1">IFERROR(__xludf.DUMMYFUNCTION("IMPORTRANGE(""https://docs.google.com/spreadsheets/d/1MeEWN-I1oV_STSDYn1IFDPWt_1FKiwhDph83XaGc0o0/edit?usp=sharing"",""งบพรบ!AC17"")"),22900)</f>
        <v>22900</v>
      </c>
      <c r="N61" s="52">
        <f ca="1">IFERROR(__xludf.DUMMYFUNCTION("IMPORTRANGE(""https://docs.google.com/spreadsheets/d/1MeEWN-I1oV_STSDYn1IFDPWt_1FKiwhDph83XaGc0o0/edit?usp=sharing"",""งบพรบ!AE17"")"),22900)</f>
        <v>22900</v>
      </c>
      <c r="O61" s="52">
        <f t="shared" ca="1" si="32"/>
        <v>82.078853046594986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 hidden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IFERROR(__xludf.DUMMYFUNCTION("IMPORTRANGE(""https://docs.google.com/spreadsheets/d/1MeEWN-I1oV_STSDYn1IFDPWt_1FKiwhDph83XaGc0o0/edit?usp=sharing"",""งบพรบ!AG17"")"),0)</f>
        <v>0</v>
      </c>
      <c r="M71" s="93">
        <f ca="1">IFERROR(__xludf.DUMMYFUNCTION("IMPORTRANGE(""https://docs.google.com/spreadsheets/d/1MeEWN-I1oV_STSDYn1IFDPWt_1FKiwhDph83XaGc0o0/edit?usp=sharing"",""งบพรบ!AL17"")"),0)</f>
        <v>0</v>
      </c>
      <c r="N71" s="93">
        <f ca="1">IFERROR(__xludf.DUMMYFUNCTION("IMPORTRANGE(""https://docs.google.com/spreadsheets/d/1MeEWN-I1oV_STSDYn1IFDPWt_1FKiwhDph83XaGc0o0/edit?usp=sharing"",""งบพรบ!AN17"")"),0)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IFERROR(__xludf.DUMMYFUNCTION("IMPORTRANGE(""https://docs.google.com/spreadsheets/d/1MeEWN-I1oV_STSDYn1IFDPWt_1FKiwhDph83XaGc0o0/edit?usp=sharing"",""งบพรบ!AJ17"")"),0)</f>
        <v>0</v>
      </c>
      <c r="M74" s="93">
        <f ca="1">IFERROR(__xludf.DUMMYFUNCTION("IMPORTRANGE(""https://docs.google.com/spreadsheets/d/1MeEWN-I1oV_STSDYn1IFDPWt_1FKiwhDph83XaGc0o0/edit?usp=sharing"",""งบพรบ!AM17"")"),0)</f>
        <v>0</v>
      </c>
      <c r="N74" s="93">
        <f ca="1">IFERROR(__xludf.DUMMYFUNCTION("IMPORTRANGE(""https://docs.google.com/spreadsheets/d/1MeEWN-I1oV_STSDYn1IFDPWt_1FKiwhDph83XaGc0o0/edit?usp=sharing"",""งบพรบ!AO17"")"),0)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IFERROR(__xludf.DUMMYFUNCTION("IMPORTRANGE(""https://docs.google.com/spreadsheets/d/1QqKyyYR6Q21VydFLVH3TRQUabQu_ym0Zz7PgGX0-kHA/edit?usp=sharing"",""แผน!H17"")"),0)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IFERROR(__xludf.DUMMYFUNCTION("IMPORTRANGE(""https://docs.google.com/spreadsheets/d/1QqKyyYR6Q21VydFLVH3TRQUabQu_ym0Zz7PgGX0-kHA/edit?usp=sharing"",""แผน!I17"")"),0)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IFERROR(__xludf.DUMMYFUNCTION("IMPORTRANGE(""https://docs.google.com/spreadsheets/d/1QqKyyYR6Q21VydFLVH3TRQUabQu_ym0Zz7PgGX0-kHA/edit?usp=sharing"",""แผน!F17"")"),0)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IFERROR(__xludf.DUMMYFUNCTION("IMPORTRANGE(""https://docs.google.com/spreadsheets/d/1QqKyyYR6Q21VydFLVH3TRQUabQu_ym0Zz7PgGX0-kHA/edit?usp=sharing"",""แผน!G17"")"),0)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IFERROR(__xludf.DUMMYFUNCTION("IMPORTRANGE(""https://docs.google.com/spreadsheets/d/1QqKyyYR6Q21VydFLVH3TRQUabQu_ym0Zz7PgGX0-kHA/edit?usp=sharing"",""แผน!D17"")"),0)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IFERROR(__xludf.DUMMYFUNCTION("IMPORTRANGE(""https://docs.google.com/spreadsheets/d/1QqKyyYR6Q21VydFLVH3TRQUabQu_ym0Zz7PgGX0-kHA/edit?usp=sharing"",""แผน!E17"")"),0)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IFERROR(__xludf.DUMMYFUNCTION("IMPORTRANGE(""https://docs.google.com/spreadsheets/d/1QqKyyYR6Q21VydFLVH3TRQUabQu_ym0Zz7PgGX0-kHA/edit?usp=sharing"",""แผน!J17"")"),0)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 hidden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56040</v>
      </c>
      <c r="M88" s="155">
        <f t="shared" ca="1" si="49"/>
        <v>51190</v>
      </c>
      <c r="N88" s="155">
        <f t="shared" ca="1" si="49"/>
        <v>46385</v>
      </c>
      <c r="O88" s="155">
        <f t="shared" ref="O88:O96" ca="1" si="50">IF(L88&gt;0,N88*100/L88,0)</f>
        <v>82.771234832262664</v>
      </c>
      <c r="P88" s="155">
        <f t="shared" ref="P88:P96" ca="1" si="51">IF(M88&gt;0,N88*100/M88,0)</f>
        <v>90.613401054893529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56040</v>
      </c>
      <c r="M90" s="93">
        <f t="shared" ca="1" si="52"/>
        <v>51190</v>
      </c>
      <c r="N90" s="93">
        <f t="shared" ca="1" si="52"/>
        <v>46385</v>
      </c>
      <c r="O90" s="93">
        <f t="shared" ca="1" si="50"/>
        <v>82.771234832262664</v>
      </c>
      <c r="P90" s="93">
        <f t="shared" ca="1" si="51"/>
        <v>90.613401054893529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56040</v>
      </c>
      <c r="M91" s="466">
        <f t="shared" ca="1" si="53"/>
        <v>51190</v>
      </c>
      <c r="N91" s="466">
        <f t="shared" ca="1" si="53"/>
        <v>46385</v>
      </c>
      <c r="O91" s="466">
        <f t="shared" ca="1" si="50"/>
        <v>82.771234832262664</v>
      </c>
      <c r="P91" s="466">
        <f t="shared" ca="1" si="51"/>
        <v>90.613401054893529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IFERROR(__xludf.DUMMYFUNCTION("IMPORTRANGE(""https://docs.google.com/spreadsheets/d/1MeEWN-I1oV_STSDYn1IFDPWt_1FKiwhDph83XaGc0o0/edit?usp=sharing"",""งบพรบ!AQ17"")"),56040)</f>
        <v>56040</v>
      </c>
      <c r="M93" s="93">
        <f ca="1">IFERROR(__xludf.DUMMYFUNCTION("IMPORTRANGE(""https://docs.google.com/spreadsheets/d/1MeEWN-I1oV_STSDYn1IFDPWt_1FKiwhDph83XaGc0o0/edit?usp=sharing"",""งบพรบ!AV17"")"),51190)</f>
        <v>51190</v>
      </c>
      <c r="N93" s="93">
        <f ca="1">IFERROR(__xludf.DUMMYFUNCTION("IMPORTRANGE(""https://docs.google.com/spreadsheets/d/1MeEWN-I1oV_STSDYn1IFDPWt_1FKiwhDph83XaGc0o0/edit?usp=sharing"",""งบพรบ!AX17"")"),46385)</f>
        <v>46385</v>
      </c>
      <c r="O93" s="93">
        <f t="shared" ca="1" si="50"/>
        <v>82.771234832262664</v>
      </c>
      <c r="P93" s="93">
        <f t="shared" ca="1" si="51"/>
        <v>90.613401054893529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IFERROR(__xludf.DUMMYFUNCTION("IMPORTRANGE(""https://docs.google.com/spreadsheets/d/1MeEWN-I1oV_STSDYn1IFDPWt_1FKiwhDph83XaGc0o0/edit?usp=sharing"",""งบพรบ!AT17"")"),0)</f>
        <v>0</v>
      </c>
      <c r="M96" s="93">
        <f ca="1">IFERROR(__xludf.DUMMYFUNCTION("IMPORTRANGE(""https://docs.google.com/spreadsheets/d/1MeEWN-I1oV_STSDYn1IFDPWt_1FKiwhDph83XaGc0o0/edit?usp=sharing"",""งบพรบ!AW17"")"),0)</f>
        <v>0</v>
      </c>
      <c r="N96" s="93">
        <f ca="1">IFERROR(__xludf.DUMMYFUNCTION("IMPORTRANGE(""https://docs.google.com/spreadsheets/d/1MeEWN-I1oV_STSDYn1IFDPWt_1FKiwhDph83XaGc0o0/edit?usp=sharing"",""งบพรบ!AY17"")"),0)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IFERROR(__xludf.DUMMYFUNCTION("IMPORTRANGE(""https://docs.google.com/spreadsheets/d/1QqKyyYR6Q21VydFLVH3TRQUabQu_ym0Zz7PgGX0-kHA/edit?usp=sharing"",""แผน!K17"")"),30)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IFERROR(__xludf.DUMMYFUNCTION("IMPORTRANGE(""https://docs.google.com/spreadsheets/d/1QqKyyYR6Q21VydFLVH3TRQUabQu_ym0Zz7PgGX0-kHA/edit?usp=sharing"",""แผน!L17"")"),10)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IFERROR(__xludf.DUMMYFUNCTION("IMPORTRANGE(""https://docs.google.com/spreadsheets/d/1QqKyyYR6Q21VydFLVH3TRQUabQu_ym0Zz7PgGX0-kHA/edit?usp=sharing"",""แผน!M17"")"),1)</f>
        <v>1</v>
      </c>
      <c r="J100" s="270">
        <f>J107+J110</f>
        <v>1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IFERROR(__xludf.DUMMYFUNCTION("IMPORTRANGE(""https://docs.google.com/spreadsheets/d/1QqKyyYR6Q21VydFLVH3TRQUabQu_ym0Zz7PgGX0-kHA/edit?usp=sharing"",""แผน!N17"")"),30)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IFERROR(__xludf.DUMMYFUNCTION("IMPORTRANGE(""https://docs.google.com/spreadsheets/d/1QqKyyYR6Q21VydFLVH3TRQUabQu_ym0Zz7PgGX0-kHA/edit?usp=sharing"",""แผน!O17"")"),10)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IFERROR(__xludf.DUMMYFUNCTION("IMPORTRANGE(""https://docs.google.com/spreadsheets/d/1QqKyyYR6Q21VydFLVH3TRQUabQu_ym0Zz7PgGX0-kHA/edit?usp=sharing"",""แผน!O17"")"),10)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IFERROR(__xludf.DUMMYFUNCTION("IMPORTRANGE(""https://docs.google.com/spreadsheets/d/1QqKyyYR6Q21VydFLVH3TRQUabQu_ym0Zz7PgGX0-kHA/edit?usp=sharing"",""แผน!P17"")"),0)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IFERROR(__xludf.DUMMYFUNCTION("IMPORTRANGE(""https://docs.google.com/spreadsheets/d/1QqKyyYR6Q21VydFLVH3TRQUabQu_ym0Zz7PgGX0-kHA/edit?usp=sharing"",""แผน!P17"")"),0)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IFERROR(__xludf.DUMMYFUNCTION("IMPORTRANGE(""https://docs.google.com/spreadsheets/d/1QqKyyYR6Q21VydFLVH3TRQUabQu_ym0Zz7PgGX0-kHA/edit?usp=sharing"",""แผน!Q17"")"),1)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IFERROR(__xludf.DUMMYFUNCTION("IMPORTRANGE(""https://docs.google.com/spreadsheets/d/1QqKyyYR6Q21VydFLVH3TRQUabQu_ym0Zz7PgGX0-kHA/edit?usp=sharing"",""แผน!Q17"")"),1)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IFERROR(__xludf.DUMMYFUNCTION("IMPORTRANGE(""https://docs.google.com/spreadsheets/d/1QqKyyYR6Q21VydFLVH3TRQUabQu_ym0Zz7PgGX0-kHA/edit?usp=sharing"",""แผน!R17"")"),10)</f>
        <v>10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1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IFERROR(__xludf.DUMMYFUNCTION("IMPORTRANGE(""https://docs.google.com/spreadsheets/d/1QqKyyYR6Q21VydFLVH3TRQUabQu_ym0Zz7PgGX0-kHA/edit?usp=sharing"",""แผน!R17"")"),10)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IFERROR(__xludf.DUMMYFUNCTION("IMPORTRANGE(""https://docs.google.com/spreadsheets/d/1QqKyyYR6Q21VydFLVH3TRQUabQu_ym0Zz7PgGX0-kHA/edit?usp=sharing"",""แผน!R17"")"),10)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IFERROR(__xludf.DUMMYFUNCTION("IMPORTRANGE(""https://docs.google.com/spreadsheets/d/1QqKyyYR6Q21VydFLVH3TRQUabQu_ym0Zz7PgGX0-kHA/edit?usp=sharing"",""แผน!S17"")"),0)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IFERROR(__xludf.DUMMYFUNCTION("IMPORTRANGE(""https://docs.google.com/spreadsheets/d/1QqKyyYR6Q21VydFLVH3TRQUabQu_ym0Zz7PgGX0-kHA/edit?usp=sharing"",""แผน!T17"")"),1)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IFERROR(__xludf.DUMMYFUNCTION("IMPORTRANGE(""https://docs.google.com/spreadsheets/d/1MeEWN-I1oV_STSDYn1IFDPWt_1FKiwhDph83XaGc0o0/edit?usp=sharing"",""งบพรบ!BA17"")"),0)</f>
        <v>0</v>
      </c>
      <c r="M124" s="93">
        <f ca="1">IFERROR(__xludf.DUMMYFUNCTION("IMPORTRANGE(""https://docs.google.com/spreadsheets/d/1MeEWN-I1oV_STSDYn1IFDPWt_1FKiwhDph83XaGc0o0/edit?usp=sharing"",""งบพรบ!BF17"")"),0)</f>
        <v>0</v>
      </c>
      <c r="N124" s="93">
        <f ca="1">IFERROR(__xludf.DUMMYFUNCTION("IMPORTRANGE(""https://docs.google.com/spreadsheets/d/1MeEWN-I1oV_STSDYn1IFDPWt_1FKiwhDph83XaGc0o0/edit?usp=sharing"",""งบพรบ!BH17"")"),0)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IFERROR(__xludf.DUMMYFUNCTION("IMPORTRANGE(""https://docs.google.com/spreadsheets/d/1MeEWN-I1oV_STSDYn1IFDPWt_1FKiwhDph83XaGc0o0/edit?usp=sharing"",""งบพรบ!BD17"")"),0)</f>
        <v>0</v>
      </c>
      <c r="M127" s="93">
        <f ca="1">IFERROR(__xludf.DUMMYFUNCTION("IMPORTRANGE(""https://docs.google.com/spreadsheets/d/1MeEWN-I1oV_STSDYn1IFDPWt_1FKiwhDph83XaGc0o0/edit?usp=sharing"",""งบพรบ!BG17"")"),0)</f>
        <v>0</v>
      </c>
      <c r="N127" s="93">
        <f ca="1">IFERROR(__xludf.DUMMYFUNCTION("IMPORTRANGE(""https://docs.google.com/spreadsheets/d/1MeEWN-I1oV_STSDYn1IFDPWt_1FKiwhDph83XaGc0o0/edit?usp=sharing"",""งบพรบ!BI17"")"),0)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5"/>
      <c r="M129" s="145"/>
      <c r="N129" s="145"/>
      <c r="O129" s="145"/>
      <c r="P129" s="145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  <c r="Q130" s="897"/>
      <c r="R130" s="897"/>
      <c r="S130" s="897"/>
      <c r="T130" s="897"/>
      <c r="U130" s="897"/>
      <c r="V130" s="897"/>
      <c r="W130" s="897"/>
      <c r="X130" s="897"/>
      <c r="Y130" s="897"/>
      <c r="Z130" s="897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  <c r="Q131" s="897"/>
      <c r="R131" s="897"/>
      <c r="S131" s="897"/>
      <c r="T131" s="897"/>
      <c r="U131" s="897"/>
      <c r="V131" s="897"/>
      <c r="W131" s="897"/>
      <c r="X131" s="897"/>
      <c r="Y131" s="897"/>
      <c r="Z131" s="897"/>
    </row>
    <row r="132" spans="1:26" ht="19.5">
      <c r="A132" s="147"/>
      <c r="B132" s="148"/>
      <c r="C132" s="149" t="s">
        <v>16</v>
      </c>
      <c r="D132" s="84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209600</v>
      </c>
      <c r="N132" s="155">
        <f t="shared" ca="1" si="69"/>
        <v>147489</v>
      </c>
      <c r="O132" s="155">
        <f t="shared" ref="O132:O140" ca="1" si="70">IF(L132&gt;0,N132*100/L132,0)</f>
        <v>61.645106685335726</v>
      </c>
      <c r="P132" s="155">
        <f t="shared" ref="P132:P140" ca="1" si="71">IF(M132&gt;0,N132*100/M132,0)</f>
        <v>70.366889312977094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239255</v>
      </c>
      <c r="M134" s="93">
        <f t="shared" ca="1" si="72"/>
        <v>209600</v>
      </c>
      <c r="N134" s="93">
        <f t="shared" ca="1" si="72"/>
        <v>147489</v>
      </c>
      <c r="O134" s="93">
        <f t="shared" ca="1" si="70"/>
        <v>61.645106685335726</v>
      </c>
      <c r="P134" s="93">
        <f t="shared" ca="1" si="71"/>
        <v>70.366889312977094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109600</v>
      </c>
      <c r="N135" s="466">
        <f t="shared" ca="1" si="73"/>
        <v>47489</v>
      </c>
      <c r="O135" s="466">
        <f t="shared" ca="1" si="70"/>
        <v>34.853032916223256</v>
      </c>
      <c r="P135" s="466">
        <f t="shared" ca="1" si="71"/>
        <v>43.329379562043798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IFERROR(__xludf.DUMMYFUNCTION("IMPORTRANGE(""https://docs.google.com/spreadsheets/d/1MeEWN-I1oV_STSDYn1IFDPWt_1FKiwhDph83XaGc0o0/edit?usp=sharing"",""งบพรบ!BK17"")"),136255)</f>
        <v>136255</v>
      </c>
      <c r="M137" s="93">
        <f ca="1">IFERROR(__xludf.DUMMYFUNCTION("IMPORTRANGE(""https://docs.google.com/spreadsheets/d/1MeEWN-I1oV_STSDYn1IFDPWt_1FKiwhDph83XaGc0o0/edit?usp=sharing"",""งบพรบ!BP17"")"),109600)</f>
        <v>109600</v>
      </c>
      <c r="N137" s="93">
        <f ca="1">IFERROR(__xludf.DUMMYFUNCTION("IMPORTRANGE(""https://docs.google.com/spreadsheets/d/1MeEWN-I1oV_STSDYn1IFDPWt_1FKiwhDph83XaGc0o0/edit?usp=sharing"",""งบพรบ!BR17"")"),47489)</f>
        <v>47489</v>
      </c>
      <c r="O137" s="93">
        <f t="shared" ca="1" si="70"/>
        <v>34.853032916223256</v>
      </c>
      <c r="P137" s="93">
        <f t="shared" ca="1" si="71"/>
        <v>43.329379562043798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100000</v>
      </c>
      <c r="N138" s="466">
        <f t="shared" ca="1" si="74"/>
        <v>100000</v>
      </c>
      <c r="O138" s="466">
        <f t="shared" ca="1" si="70"/>
        <v>97.087378640776706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IFERROR(__xludf.DUMMYFUNCTION("IMPORTRANGE(""https://docs.google.com/spreadsheets/d/1MeEWN-I1oV_STSDYn1IFDPWt_1FKiwhDph83XaGc0o0/edit?usp=sharing"",""งบพรบ!BN17"")"),103000)</f>
        <v>103000</v>
      </c>
      <c r="M140" s="93">
        <f ca="1">IFERROR(__xludf.DUMMYFUNCTION("IMPORTRANGE(""https://docs.google.com/spreadsheets/d/1MeEWN-I1oV_STSDYn1IFDPWt_1FKiwhDph83XaGc0o0/edit?usp=sharing"",""งบพรบ!BQ17"")"),100000)</f>
        <v>100000</v>
      </c>
      <c r="N140" s="93">
        <f ca="1">IFERROR(__xludf.DUMMYFUNCTION("IMPORTRANGE(""https://docs.google.com/spreadsheets/d/1MeEWN-I1oV_STSDYn1IFDPWt_1FKiwhDph83XaGc0o0/edit?usp=sharing"",""งบพรบ!BS17"")"),100000)</f>
        <v>100000</v>
      </c>
      <c r="O140" s="93">
        <f t="shared" ca="1" si="70"/>
        <v>97.087378640776706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IFERROR(__xludf.DUMMYFUNCTION("IMPORTRANGE(""https://docs.google.com/spreadsheets/d/1QqKyyYR6Q21VydFLVH3TRQUabQu_ym0Zz7PgGX0-kHA/edit?usp=sharing"",""แผน!U17"")"),5)</f>
        <v>5</v>
      </c>
      <c r="J144" s="215">
        <v>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IFERROR(__xludf.DUMMYFUNCTION("IMPORTRANGE(""https://docs.google.com/spreadsheets/d/1QqKyyYR6Q21VydFLVH3TRQUabQu_ym0Zz7PgGX0-kHA/edit?usp=sharing"",""แผน!V17"")"),10)</f>
        <v>10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IFERROR(__xludf.DUMMYFUNCTION("IMPORTRANGE(""https://docs.google.com/spreadsheets/d/1QqKyyYR6Q21VydFLVH3TRQUabQu_ym0Zz7PgGX0-kHA/edit?usp=sharing"",""แผน!W17"")"),1)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11360</v>
      </c>
      <c r="N149" s="155">
        <f t="shared" ca="1" si="77"/>
        <v>1672</v>
      </c>
      <c r="O149" s="155">
        <f t="shared" ref="O149:O157" ca="1" si="78">IF(L149&gt;0,N149*100/L149,0)</f>
        <v>16.72</v>
      </c>
      <c r="P149" s="155">
        <f t="shared" ref="P149:P157" ca="1" si="79">IF(M149&gt;0,N149*100/M149,0)</f>
        <v>14.71830985915493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11360</v>
      </c>
      <c r="N151" s="93">
        <f t="shared" ca="1" si="80"/>
        <v>1672</v>
      </c>
      <c r="O151" s="93">
        <f t="shared" ca="1" si="78"/>
        <v>16.72</v>
      </c>
      <c r="P151" s="93">
        <f t="shared" ca="1" si="79"/>
        <v>14.71830985915493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11360</v>
      </c>
      <c r="N152" s="466">
        <f t="shared" ca="1" si="81"/>
        <v>1672</v>
      </c>
      <c r="O152" s="466">
        <f t="shared" ca="1" si="78"/>
        <v>16.72</v>
      </c>
      <c r="P152" s="466">
        <f t="shared" ca="1" si="79"/>
        <v>14.71830985915493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IFERROR(__xludf.DUMMYFUNCTION("IMPORTRANGE(""https://docs.google.com/spreadsheets/d/1MeEWN-I1oV_STSDYn1IFDPWt_1FKiwhDph83XaGc0o0/edit?usp=sharing"",""งบพรบ!BU17"")"),10000)</f>
        <v>10000</v>
      </c>
      <c r="M154" s="93">
        <f ca="1">IFERROR(__xludf.DUMMYFUNCTION("IMPORTRANGE(""https://docs.google.com/spreadsheets/d/1MeEWN-I1oV_STSDYn1IFDPWt_1FKiwhDph83XaGc0o0/edit?usp=sharing"",""งบพรบ!BZ17"")"),11360)</f>
        <v>11360</v>
      </c>
      <c r="N154" s="93">
        <f ca="1">IFERROR(__xludf.DUMMYFUNCTION("IMPORTRANGE(""https://docs.google.com/spreadsheets/d/1MeEWN-I1oV_STSDYn1IFDPWt_1FKiwhDph83XaGc0o0/edit?usp=sharing"",""งบพรบ!CB17"")"),1672)</f>
        <v>1672</v>
      </c>
      <c r="O154" s="93">
        <f t="shared" ca="1" si="78"/>
        <v>16.72</v>
      </c>
      <c r="P154" s="93">
        <f t="shared" ca="1" si="79"/>
        <v>14.71830985915493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IFERROR(__xludf.DUMMYFUNCTION("IMPORTRANGE(""https://docs.google.com/spreadsheets/d/1MeEWN-I1oV_STSDYn1IFDPWt_1FKiwhDph83XaGc0o0/edit?usp=sharing"",""งบพรบ!BX17"")"),0)</f>
        <v>0</v>
      </c>
      <c r="M157" s="93">
        <f ca="1">IFERROR(__xludf.DUMMYFUNCTION("IMPORTRANGE(""https://docs.google.com/spreadsheets/d/1MeEWN-I1oV_STSDYn1IFDPWt_1FKiwhDph83XaGc0o0/edit?usp=sharing"",""งบพรบ!CA17"")"),0)</f>
        <v>0</v>
      </c>
      <c r="N157" s="93">
        <f ca="1">IFERROR(__xludf.DUMMYFUNCTION("IMPORTRANGE(""https://docs.google.com/spreadsheets/d/1MeEWN-I1oV_STSDYn1IFDPWt_1FKiwhDph83XaGc0o0/edit?usp=sharing"",""งบพรบ!CC17"")"),0)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IFERROR(__xludf.DUMMYFUNCTION("IMPORTRANGE(""https://docs.google.com/spreadsheets/d/1QqKyyYR6Q21VydFLVH3TRQUabQu_ym0Zz7PgGX0-kHA/edit?usp=sharing"",""แผน!X17"")"),20)</f>
        <v>20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36685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60.11994002998501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36685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60.11994002998501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36685</v>
      </c>
      <c r="N168" s="466">
        <f t="shared" ca="1" si="88"/>
        <v>22055</v>
      </c>
      <c r="O168" s="466">
        <f t="shared" ca="1" si="85"/>
        <v>100</v>
      </c>
      <c r="P168" s="466">
        <f t="shared" ca="1" si="86"/>
        <v>60.11994002998501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IFERROR(__xludf.DUMMYFUNCTION("IMPORTRANGE(""https://docs.google.com/spreadsheets/d/1MeEWN-I1oV_STSDYn1IFDPWt_1FKiwhDph83XaGc0o0/edit?usp=sharing"",""งบพรบ!CE17"")"),22055)</f>
        <v>22055</v>
      </c>
      <c r="M170" s="93">
        <f ca="1">IFERROR(__xludf.DUMMYFUNCTION("IMPORTRANGE(""https://docs.google.com/spreadsheets/d/1MeEWN-I1oV_STSDYn1IFDPWt_1FKiwhDph83XaGc0o0/edit?usp=sharing"",""งบพรบ!CJ17"")"),36685)</f>
        <v>36685</v>
      </c>
      <c r="N170" s="93">
        <f ca="1">IFERROR(__xludf.DUMMYFUNCTION("IMPORTRANGE(""https://docs.google.com/spreadsheets/d/1MeEWN-I1oV_STSDYn1IFDPWt_1FKiwhDph83XaGc0o0/edit?usp=sharing"",""งบพรบ!CL17"")"),22055)</f>
        <v>22055</v>
      </c>
      <c r="O170" s="93">
        <f t="shared" ca="1" si="85"/>
        <v>100</v>
      </c>
      <c r="P170" s="93">
        <f t="shared" ca="1" si="86"/>
        <v>60.11994002998501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IFERROR(__xludf.DUMMYFUNCTION("IMPORTRANGE(""https://docs.google.com/spreadsheets/d/1MeEWN-I1oV_STSDYn1IFDPWt_1FKiwhDph83XaGc0o0/edit?usp=sharing"",""งบพรบ!CH17"")"),0)</f>
        <v>0</v>
      </c>
      <c r="M173" s="93">
        <f ca="1">IFERROR(__xludf.DUMMYFUNCTION("IMPORTRANGE(""https://docs.google.com/spreadsheets/d/1MeEWN-I1oV_STSDYn1IFDPWt_1FKiwhDph83XaGc0o0/edit?usp=sharing"",""งบพรบ!CK17"")"),0)</f>
        <v>0</v>
      </c>
      <c r="N173" s="93">
        <f ca="1">IFERROR(__xludf.DUMMYFUNCTION("IMPORTRANGE(""https://docs.google.com/spreadsheets/d/1MeEWN-I1oV_STSDYn1IFDPWt_1FKiwhDph83XaGc0o0/edit?usp=sharing"",""งบพรบ!CM17"")"),0)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IFERROR(__xludf.DUMMYFUNCTION("IMPORTRANGE(""https://docs.google.com/spreadsheets/d/1QqKyyYR6Q21VydFLVH3TRQUabQu_ym0Zz7PgGX0-kHA/edit?usp=sharing"",""แผน!Y17"")"),11)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4">
        <f t="shared" ref="L180:P180" ca="1" si="92">L181</f>
        <v>63500</v>
      </c>
      <c r="M180" s="254">
        <f t="shared" ca="1" si="92"/>
        <v>48500</v>
      </c>
      <c r="N180" s="254">
        <f t="shared" ca="1" si="92"/>
        <v>25555</v>
      </c>
      <c r="O180" s="254">
        <f t="shared" ca="1" si="92"/>
        <v>40.244094488188978</v>
      </c>
      <c r="P180" s="254">
        <f t="shared" ca="1" si="92"/>
        <v>52.690721649484537</v>
      </c>
    </row>
    <row r="181" spans="1:26" ht="19.5" hidden="1">
      <c r="A181" s="147"/>
      <c r="B181" s="148"/>
      <c r="C181" s="149" t="s">
        <v>16</v>
      </c>
      <c r="D181" s="84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3">L182+L183</f>
        <v>63500</v>
      </c>
      <c r="M181" s="155">
        <f t="shared" ca="1" si="93"/>
        <v>48500</v>
      </c>
      <c r="N181" s="155">
        <f t="shared" ca="1" si="93"/>
        <v>25555</v>
      </c>
      <c r="O181" s="155">
        <f t="shared" ref="O181:O189" ca="1" si="94">IF(L181&gt;0,N181*100/L181,0)</f>
        <v>40.244094488188978</v>
      </c>
      <c r="P181" s="155">
        <f t="shared" ref="P181:P189" ca="1" si="95">IF(M181&gt;0,N181*100/M181,0)</f>
        <v>52.690721649484537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6">L185+L188</f>
        <v>0</v>
      </c>
      <c r="M182" s="93">
        <f t="shared" si="96"/>
        <v>0</v>
      </c>
      <c r="N182" s="93">
        <f t="shared" si="96"/>
        <v>0</v>
      </c>
      <c r="O182" s="93">
        <f t="shared" si="94"/>
        <v>0</v>
      </c>
      <c r="P182" s="93">
        <f t="shared" si="9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6"/>
        <v>63500</v>
      </c>
      <c r="M183" s="93">
        <f t="shared" ca="1" si="96"/>
        <v>48500</v>
      </c>
      <c r="N183" s="93">
        <f t="shared" ca="1" si="96"/>
        <v>25555</v>
      </c>
      <c r="O183" s="93">
        <f t="shared" ca="1" si="94"/>
        <v>40.244094488188978</v>
      </c>
      <c r="P183" s="93">
        <f t="shared" ca="1" si="95"/>
        <v>52.690721649484537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7">L185+L186</f>
        <v>63500</v>
      </c>
      <c r="M184" s="466">
        <f t="shared" ca="1" si="97"/>
        <v>48500</v>
      </c>
      <c r="N184" s="466">
        <f t="shared" ca="1" si="97"/>
        <v>25555</v>
      </c>
      <c r="O184" s="466">
        <f t="shared" ca="1" si="94"/>
        <v>40.244094488188978</v>
      </c>
      <c r="P184" s="466">
        <f t="shared" ca="1" si="95"/>
        <v>52.690721649484537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4"/>
        <v>0</v>
      </c>
      <c r="P185" s="93">
        <f t="shared" si="9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IFERROR(__xludf.DUMMYFUNCTION("IMPORTRANGE(""https://docs.google.com/spreadsheets/d/1MeEWN-I1oV_STSDYn1IFDPWt_1FKiwhDph83XaGc0o0/edit?usp=sharing"",""งบพรบ!CO17"")"),63500)</f>
        <v>63500</v>
      </c>
      <c r="M186" s="93">
        <f ca="1">IFERROR(__xludf.DUMMYFUNCTION("IMPORTRANGE(""https://docs.google.com/spreadsheets/d/1MeEWN-I1oV_STSDYn1IFDPWt_1FKiwhDph83XaGc0o0/edit?usp=sharing"",""งบพรบ!CT17"")"),48500)</f>
        <v>48500</v>
      </c>
      <c r="N186" s="93">
        <f ca="1">IFERROR(__xludf.DUMMYFUNCTION("IMPORTRANGE(""https://docs.google.com/spreadsheets/d/1MeEWN-I1oV_STSDYn1IFDPWt_1FKiwhDph83XaGc0o0/edit?usp=sharing"",""งบพรบ!CV17"")"),25555)</f>
        <v>25555</v>
      </c>
      <c r="O186" s="93">
        <f t="shared" ca="1" si="94"/>
        <v>40.244094488188978</v>
      </c>
      <c r="P186" s="93">
        <f t="shared" ca="1" si="95"/>
        <v>52.690721649484537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8">L188+L189</f>
        <v>0</v>
      </c>
      <c r="M187" s="466">
        <f t="shared" ca="1" si="98"/>
        <v>0</v>
      </c>
      <c r="N187" s="466">
        <f t="shared" ca="1" si="98"/>
        <v>0</v>
      </c>
      <c r="O187" s="466">
        <f t="shared" ca="1" si="94"/>
        <v>0</v>
      </c>
      <c r="P187" s="466">
        <f t="shared" ca="1" si="9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4"/>
        <v>0</v>
      </c>
      <c r="P188" s="93">
        <f t="shared" si="9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IFERROR(__xludf.DUMMYFUNCTION("IMPORTRANGE(""https://docs.google.com/spreadsheets/d/1MeEWN-I1oV_STSDYn1IFDPWt_1FKiwhDph83XaGc0o0/edit?usp=sharing"",""งบพรบ!CR17"")"),0)</f>
        <v>0</v>
      </c>
      <c r="M189" s="93">
        <f ca="1">IFERROR(__xludf.DUMMYFUNCTION("IMPORTRANGE(""https://docs.google.com/spreadsheets/d/1MeEWN-I1oV_STSDYn1IFDPWt_1FKiwhDph83XaGc0o0/edit?usp=sharing"",""งบพรบ!CU17"")"),0)</f>
        <v>0</v>
      </c>
      <c r="N189" s="93">
        <f ca="1">IFERROR(__xludf.DUMMYFUNCTION("IMPORTRANGE(""https://docs.google.com/spreadsheets/d/1MeEWN-I1oV_STSDYn1IFDPWt_1FKiwhDph83XaGc0o0/edit?usp=sharing"",""งบพรบ!CW17"")"),0)</f>
        <v>0</v>
      </c>
      <c r="O189" s="93">
        <f t="shared" ca="1" si="94"/>
        <v>0</v>
      </c>
      <c r="P189" s="93">
        <f t="shared" ca="1" si="9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898"/>
      <c r="B190" s="899"/>
      <c r="C190" s="340" t="s">
        <v>89</v>
      </c>
      <c r="D190" s="900"/>
      <c r="E190" s="900"/>
      <c r="F190" s="900"/>
      <c r="G190" s="901"/>
      <c r="H190" s="260" t="s">
        <v>90</v>
      </c>
      <c r="I190" s="272">
        <f t="shared" ref="I190:J190" ca="1" si="99">I193</f>
        <v>4</v>
      </c>
      <c r="J190" s="272">
        <f t="shared" si="99"/>
        <v>1</v>
      </c>
      <c r="K190" s="273">
        <f ca="1">IF(I190&gt;0,J190*100/I190,0)</f>
        <v>25</v>
      </c>
      <c r="L190" s="273"/>
      <c r="M190" s="273"/>
      <c r="N190" s="273"/>
      <c r="O190" s="273"/>
      <c r="P190" s="273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spans="1:2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IFERROR(__xludf.DUMMYFUNCTION("IMPORTRANGE(""https://docs.google.com/spreadsheets/d/1QqKyyYR6Q21VydFLVH3TRQUabQu_ym0Zz7PgGX0-kHA/edit?usp=sharing"",""แผน!Z17"")"),6000)</f>
        <v>6000</v>
      </c>
      <c r="M191" s="155"/>
      <c r="N191" s="276">
        <v>860</v>
      </c>
      <c r="O191" s="155">
        <f ca="1">IF(L191&gt;0,N191*100/L191,0)</f>
        <v>14.333333333333334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IFERROR(__xludf.DUMMYFUNCTION("IMPORTRANGE(""https://docs.google.com/spreadsheets/d/1QqKyyYR6Q21VydFLVH3TRQUabQu_ym0Zz7PgGX0-kHA/edit?usp=sharing"",""แผน!AC17"")"),4)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20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20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898"/>
      <c r="B197" s="899"/>
      <c r="C197" s="340" t="s">
        <v>95</v>
      </c>
      <c r="D197" s="900"/>
      <c r="E197" s="900"/>
      <c r="F197" s="900"/>
      <c r="G197" s="901"/>
      <c r="H197" s="278" t="s">
        <v>96</v>
      </c>
      <c r="I197" s="272">
        <f t="shared" ref="I197:J197" ca="1" si="100">I204</f>
        <v>3</v>
      </c>
      <c r="J197" s="272">
        <f t="shared" si="100"/>
        <v>3</v>
      </c>
      <c r="K197" s="273">
        <f ca="1">IF(I197&gt;0,J197*100/I197,0)</f>
        <v>100</v>
      </c>
      <c r="L197" s="273"/>
      <c r="M197" s="273"/>
      <c r="N197" s="273"/>
      <c r="O197" s="273"/>
      <c r="P197" s="273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spans="1:2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24695</v>
      </c>
      <c r="O198" s="155">
        <f ca="1">IF(L198&gt;0,N198*100/L198,0)</f>
        <v>63.320512820512818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IFERROR(__xludf.DUMMYFUNCTION("IMPORTRANGE(""https://docs.google.com/spreadsheets/d/1QqKyyYR6Q21VydFLVH3TRQUabQu_ym0Zz7PgGX0-kHA/edit?usp=sharing"",""แผน!AE17"")"),3000)</f>
        <v>3000</v>
      </c>
      <c r="M199" s="466"/>
      <c r="N199" s="801">
        <v>695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IFERROR(__xludf.DUMMYFUNCTION("IMPORTRANGE(""https://docs.google.com/spreadsheets/d/1QqKyyYR6Q21VydFLVH3TRQUabQu_ym0Zz7PgGX0-kHA/edit?usp=sharing"",""แผน!AF17"")"),24000)</f>
        <v>24000</v>
      </c>
      <c r="M200" s="466"/>
      <c r="N200" s="801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IFERROR(__xludf.DUMMYFUNCTION("IMPORTRANGE(""https://docs.google.com/spreadsheets/d/1QqKyyYR6Q21VydFLVH3TRQUabQu_ym0Zz7PgGX0-kHA/edit?usp=sharing"",""แผน!AG17"")"),12000)</f>
        <v>12000</v>
      </c>
      <c r="M201" s="466"/>
      <c r="N201" s="801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IFERROR(__xludf.DUMMYFUNCTION("IMPORTRANGE(""https://docs.google.com/spreadsheets/d/1QqKyyYR6Q21VydFLVH3TRQUabQu_ym0Zz7PgGX0-kHA/edit?usp=sharing"",""แผน!AH17"")"),0)</f>
        <v>0</v>
      </c>
      <c r="M202" s="466"/>
      <c r="N202" s="801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IFERROR(__xludf.DUMMYFUNCTION("IMPORTRANGE(""https://docs.google.com/spreadsheets/d/1QqKyyYR6Q21VydFLVH3TRQUabQu_ym0Zz7PgGX0-kHA/edit?usp=sharing"",""แผน!AI17"")"),3)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1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1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2">I215</f>
        <v>0</v>
      </c>
      <c r="J208" s="272">
        <f t="shared" si="102"/>
        <v>0</v>
      </c>
      <c r="K208" s="273">
        <f t="shared" ca="1" si="101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IFERROR(__xludf.DUMMYFUNCTION("IMPORTRANGE(""https://docs.google.com/spreadsheets/d/1QqKyyYR6Q21VydFLVH3TRQUabQu_ym0Zz7PgGX0-kHA/edit?usp=sharing"",""แผน!AK17"")"),0)</f>
        <v>0</v>
      </c>
      <c r="M210" s="466"/>
      <c r="N210" s="801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IFERROR(__xludf.DUMMYFUNCTION("IMPORTRANGE(""https://docs.google.com/spreadsheets/d/1QqKyyYR6Q21VydFLVH3TRQUabQu_ym0Zz7PgGX0-kHA/edit?usp=sharing"",""แผน!AL17"")"),0)</f>
        <v>0</v>
      </c>
      <c r="M211" s="466"/>
      <c r="N211" s="801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IFERROR(__xludf.DUMMYFUNCTION("IMPORTRANGE(""https://docs.google.com/spreadsheets/d/1QqKyyYR6Q21VydFLVH3TRQUabQu_ym0Zz7PgGX0-kHA/edit?usp=sharing"",""แผน!AM17"")"),0)</f>
        <v>0</v>
      </c>
      <c r="M212" s="466"/>
      <c r="N212" s="801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IFERROR(__xludf.DUMMYFUNCTION("IMPORTRANGE(""https://docs.google.com/spreadsheets/d/1QqKyyYR6Q21VydFLVH3TRQUabQu_ym0Zz7PgGX0-kHA/edit?usp=sharing"",""แผน!AN17"")"),0)</f>
        <v>0</v>
      </c>
      <c r="J214" s="215">
        <v>0</v>
      </c>
      <c r="K214" s="466">
        <f t="shared" ref="K214:K216" ca="1" si="103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IFERROR(__xludf.DUMMYFUNCTION("IMPORTRANGE(""https://docs.google.com/spreadsheets/d/1QqKyyYR6Q21VydFLVH3TRQUabQu_ym0Zz7PgGX0-kHA/edit?usp=sharing"",""แผน!AN17"")"),0)</f>
        <v>0</v>
      </c>
      <c r="J215" s="215">
        <v>0</v>
      </c>
      <c r="K215" s="466">
        <f t="shared" ca="1" si="103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898"/>
      <c r="B216" s="899"/>
      <c r="C216" s="340" t="s">
        <v>108</v>
      </c>
      <c r="D216" s="900"/>
      <c r="E216" s="900"/>
      <c r="F216" s="902"/>
      <c r="G216" s="901"/>
      <c r="H216" s="260" t="s">
        <v>109</v>
      </c>
      <c r="I216" s="272">
        <f t="shared" ref="I216:J216" ca="1" si="104">I224</f>
        <v>50000</v>
      </c>
      <c r="J216" s="272">
        <f t="shared" si="104"/>
        <v>0</v>
      </c>
      <c r="K216" s="273">
        <f t="shared" ca="1" si="103"/>
        <v>0</v>
      </c>
      <c r="L216" s="273"/>
      <c r="M216" s="273"/>
      <c r="N216" s="273"/>
      <c r="O216" s="273"/>
      <c r="P216" s="273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spans="1:26" ht="19.5" hidden="1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 hidden="1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IFERROR(__xludf.DUMMYFUNCTION("IMPORTRANGE(""https://docs.google.com/spreadsheets/d/1QqKyyYR6Q21VydFLVH3TRQUabQu_ym0Zz7PgGX0-kHA/edit?usp=sharing"",""แผน!AP17"")"),5000)</f>
        <v>5000</v>
      </c>
      <c r="M218" s="466"/>
      <c r="N218" s="801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 hidden="1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IFERROR(__xludf.DUMMYFUNCTION("IMPORTRANGE(""https://docs.google.com/spreadsheets/d/1QqKyyYR6Q21VydFLVH3TRQUabQu_ym0Zz7PgGX0-kHA/edit?usp=sharing"",""แผน!AQ17"")"),13500)</f>
        <v>13500</v>
      </c>
      <c r="M219" s="466"/>
      <c r="N219" s="801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 hidden="1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IFERROR(__xludf.DUMMYFUNCTION("IMPORTRANGE(""https://docs.google.com/spreadsheets/d/1QqKyyYR6Q21VydFLVH3TRQUabQu_ym0Zz7PgGX0-kHA/edit?usp=sharing"",""แผน!AR17"")"),0)</f>
        <v>0</v>
      </c>
      <c r="M220" s="466"/>
      <c r="N220" s="801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 hidden="1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 hidden="1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 hidden="1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IFERROR(__xludf.DUMMYFUNCTION("IMPORTRANGE(""https://docs.google.com/spreadsheets/d/1QqKyyYR6Q21VydFLVH3TRQUabQu_ym0Zz7PgGX0-kHA/edit?usp=sharing"",""แผน!AT17"")"),50000)</f>
        <v>50000</v>
      </c>
      <c r="J223" s="215">
        <v>0</v>
      </c>
      <c r="K223" s="163">
        <f t="shared" ref="K223:K226" ca="1" si="105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 hidden="1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IFERROR(__xludf.DUMMYFUNCTION("IMPORTRANGE(""https://docs.google.com/spreadsheets/d/1QqKyyYR6Q21VydFLVH3TRQUabQu_ym0Zz7PgGX0-kHA/edit?usp=sharing"",""แผน!AT17"")"),50000)</f>
        <v>50000</v>
      </c>
      <c r="J224" s="215">
        <v>0</v>
      </c>
      <c r="K224" s="163">
        <f t="shared" ca="1" si="105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 hidden="1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IFERROR(__xludf.DUMMYFUNCTION("IMPORTRANGE(""https://docs.google.com/spreadsheets/d/1QqKyyYR6Q21VydFLVH3TRQUabQu_ym0Zz7PgGX0-kHA/edit?usp=sharing"",""แผน!AS17"")"),0)</f>
        <v>0</v>
      </c>
      <c r="J225" s="215">
        <v>0</v>
      </c>
      <c r="K225" s="163">
        <f t="shared" ca="1" si="105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6">I237+I248</f>
        <v>0</v>
      </c>
      <c r="J226" s="821">
        <f t="shared" si="106"/>
        <v>0</v>
      </c>
      <c r="K226" s="822">
        <f t="shared" ca="1" si="105"/>
        <v>0</v>
      </c>
      <c r="L226" s="262"/>
      <c r="M226" s="262"/>
      <c r="N226" s="262"/>
      <c r="O226" s="262"/>
      <c r="P226" s="262"/>
    </row>
    <row r="227" spans="1:2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7">L238+L249</f>
        <v>0</v>
      </c>
      <c r="M227" s="831"/>
      <c r="N227" s="831">
        <f t="shared" ref="N227:N231" si="108">N238+N249</f>
        <v>0</v>
      </c>
      <c r="O227" s="832"/>
      <c r="P227" s="83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7"/>
        <v>0</v>
      </c>
      <c r="M228" s="93"/>
      <c r="N228" s="93">
        <f t="shared" si="108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7"/>
        <v>0</v>
      </c>
      <c r="M229" s="93"/>
      <c r="N229" s="93">
        <f t="shared" si="108"/>
        <v>0</v>
      </c>
      <c r="O229" s="93"/>
      <c r="P229" s="93"/>
      <c r="Q229" s="835"/>
      <c r="R229" s="835"/>
      <c r="S229" s="835"/>
      <c r="T229" s="835"/>
      <c r="U229" s="835"/>
      <c r="V229" s="835"/>
      <c r="W229" s="835"/>
      <c r="X229" s="835"/>
      <c r="Y229" s="835"/>
      <c r="Z229" s="835"/>
    </row>
    <row r="230" spans="1:2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7"/>
        <v>0</v>
      </c>
      <c r="M230" s="93"/>
      <c r="N230" s="93">
        <f t="shared" si="108"/>
        <v>0</v>
      </c>
      <c r="O230" s="93"/>
      <c r="P230" s="93"/>
      <c r="Q230" s="835"/>
      <c r="R230" s="835"/>
      <c r="S230" s="835"/>
      <c r="T230" s="835"/>
      <c r="U230" s="835"/>
      <c r="V230" s="835"/>
      <c r="W230" s="835"/>
      <c r="X230" s="835"/>
      <c r="Y230" s="835"/>
      <c r="Z230" s="835"/>
    </row>
    <row r="231" spans="1:2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7"/>
        <v>0</v>
      </c>
      <c r="M231" s="93"/>
      <c r="N231" s="93">
        <f t="shared" si="108"/>
        <v>0</v>
      </c>
      <c r="O231" s="93"/>
      <c r="P231" s="93"/>
      <c r="Q231" s="835"/>
      <c r="R231" s="835"/>
      <c r="S231" s="835"/>
      <c r="T231" s="835"/>
      <c r="U231" s="835"/>
      <c r="V231" s="835"/>
      <c r="W231" s="835"/>
      <c r="X231" s="835"/>
      <c r="Y231" s="835"/>
      <c r="Z231" s="835"/>
    </row>
    <row r="232" spans="1:2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9">I244+I255</f>
        <v>0</v>
      </c>
      <c r="J233" s="584">
        <f t="shared" si="109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10">I246+I257</f>
        <v>0</v>
      </c>
      <c r="J235" s="584">
        <f t="shared" si="110"/>
        <v>0</v>
      </c>
      <c r="K235" s="93">
        <f t="shared" ref="K235:K237" si="111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10"/>
        <v>0</v>
      </c>
      <c r="J236" s="584">
        <f t="shared" si="110"/>
        <v>0</v>
      </c>
      <c r="K236" s="93">
        <f t="shared" si="111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2">I244</f>
        <v>0</v>
      </c>
      <c r="J237" s="272">
        <f t="shared" si="112"/>
        <v>0</v>
      </c>
      <c r="K237" s="273">
        <f t="shared" ca="1" si="111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IFERROR(__xludf.DUMMYFUNCTION("IMPORTRANGE(""https://docs.google.com/spreadsheets/d/1QqKyyYR6Q21VydFLVH3TRQUabQu_ym0Zz7PgGX0-kHA/edit?usp=sharing"",""แผน!AV17"")"),0)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IFERROR(__xludf.DUMMYFUNCTION("IMPORTRANGE(""https://docs.google.com/spreadsheets/d/1QqKyyYR6Q21VydFLVH3TRQUabQu_ym0Zz7PgGX0-kHA/edit?usp=sharing"",""แผน!AW17"")"),0)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IFERROR(__xludf.DUMMYFUNCTION("IMPORTRANGE(""https://docs.google.com/spreadsheets/d/1QqKyyYR6Q21VydFLVH3TRQUabQu_ym0Zz7PgGX0-kHA/edit?usp=sharing"",""แผน!AX17"")"),0)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IFERROR(__xludf.DUMMYFUNCTION("IMPORTRANGE(""https://docs.google.com/spreadsheets/d/1QqKyyYR6Q21VydFLVH3TRQUabQu_ym0Zz7PgGX0-kHA/edit?usp=sharing"",""แผน!AY17"")"),0)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IFERROR(__xludf.DUMMYFUNCTION("IMPORTRANGE(""https://docs.google.com/spreadsheets/d/1QqKyyYR6Q21VydFLVH3TRQUabQu_ym0Zz7PgGX0-kHA/edit?usp=sharing"",""แผน!BE17"")"),0)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/>
      <c r="J246" s="215">
        <v>0</v>
      </c>
      <c r="K246" s="466">
        <f t="shared" ref="K246:K248" si="113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/>
      <c r="J247" s="215">
        <v>0</v>
      </c>
      <c r="K247" s="466">
        <f t="shared" si="113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4">I255</f>
        <v>0</v>
      </c>
      <c r="J248" s="272">
        <f t="shared" si="114"/>
        <v>0</v>
      </c>
      <c r="K248" s="273">
        <f t="shared" ca="1" si="113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IFERROR(__xludf.DUMMYFUNCTION("IMPORTRANGE(""https://docs.google.com/spreadsheets/d/1QqKyyYR6Q21VydFLVH3TRQUabQu_ym0Zz7PgGX0-kHA/edit?usp=sharing"",""แผน!AZ17"")"),0)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IFERROR(__xludf.DUMMYFUNCTION("IMPORTRANGE(""https://docs.google.com/spreadsheets/d/1QqKyyYR6Q21VydFLVH3TRQUabQu_ym0Zz7PgGX0-kHA/edit?usp=sharing"",""แผน!BA17"")"),0)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IFERROR(__xludf.DUMMYFUNCTION("IMPORTRANGE(""https://docs.google.com/spreadsheets/d/1QqKyyYR6Q21VydFLVH3TRQUabQu_ym0Zz7PgGX0-kHA/edit?usp=sharing"",""แผน!BB17"")"),0)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IFERROR(__xludf.DUMMYFUNCTION("IMPORTRANGE(""https://docs.google.com/spreadsheets/d/1QqKyyYR6Q21VydFLVH3TRQUabQu_ym0Zz7PgGX0-kHA/edit?usp=sharing"",""แผน!BC17"")"),0)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IFERROR(__xludf.DUMMYFUNCTION("IMPORTRANGE(""https://docs.google.com/spreadsheets/d/1QqKyyYR6Q21VydFLVH3TRQUabQu_ym0Zz7PgGX0-kHA/edit?usp=sharing"",""แผน!BF17"")"),0)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/>
      <c r="J257" s="215">
        <v>0</v>
      </c>
      <c r="K257" s="466">
        <f t="shared" ref="K257:K258" si="115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/>
      <c r="J258" s="215">
        <v>0</v>
      </c>
      <c r="K258" s="466">
        <f t="shared" si="115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 hidden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6">I271</f>
        <v>22</v>
      </c>
      <c r="J260" s="253">
        <f t="shared" si="116"/>
        <v>22</v>
      </c>
      <c r="K260" s="254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7">L262+L263</f>
        <v>26900</v>
      </c>
      <c r="M261" s="155">
        <f t="shared" ca="1" si="117"/>
        <v>23900</v>
      </c>
      <c r="N261" s="155">
        <f t="shared" ca="1" si="117"/>
        <v>20290</v>
      </c>
      <c r="O261" s="155">
        <f t="shared" ref="O261:O269" ca="1" si="118">IF(L261&gt;0,N261*100/L261,0)</f>
        <v>75.427509293680302</v>
      </c>
      <c r="P261" s="155">
        <f t="shared" ref="P261:P269" ca="1" si="119">IF(M261&gt;0,N261*100/M261,0)</f>
        <v>84.895397489539747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20">L265+L268</f>
        <v>0</v>
      </c>
      <c r="M262" s="93">
        <f t="shared" si="120"/>
        <v>0</v>
      </c>
      <c r="N262" s="93">
        <f t="shared" si="120"/>
        <v>0</v>
      </c>
      <c r="O262" s="93">
        <f t="shared" si="118"/>
        <v>0</v>
      </c>
      <c r="P262" s="93">
        <f t="shared" si="11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20"/>
        <v>26900</v>
      </c>
      <c r="M263" s="93">
        <f t="shared" ca="1" si="120"/>
        <v>23900</v>
      </c>
      <c r="N263" s="93">
        <f t="shared" ca="1" si="120"/>
        <v>20290</v>
      </c>
      <c r="O263" s="93">
        <f t="shared" ca="1" si="118"/>
        <v>75.427509293680302</v>
      </c>
      <c r="P263" s="93">
        <f t="shared" ca="1" si="119"/>
        <v>84.895397489539747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1">L265+L266</f>
        <v>26900</v>
      </c>
      <c r="M264" s="466">
        <f t="shared" ca="1" si="121"/>
        <v>23900</v>
      </c>
      <c r="N264" s="466">
        <f t="shared" ca="1" si="121"/>
        <v>20290</v>
      </c>
      <c r="O264" s="466">
        <f t="shared" ca="1" si="118"/>
        <v>75.427509293680302</v>
      </c>
      <c r="P264" s="466">
        <f t="shared" ca="1" si="119"/>
        <v>84.895397489539747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8"/>
        <v>0</v>
      </c>
      <c r="P265" s="93">
        <f t="shared" si="11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IFERROR(__xludf.DUMMYFUNCTION("IMPORTRANGE(""https://docs.google.com/spreadsheets/d/1MeEWN-I1oV_STSDYn1IFDPWt_1FKiwhDph83XaGc0o0/edit?usp=sharing"",""งบพรบ!CY17"")"),26900)</f>
        <v>26900</v>
      </c>
      <c r="M266" s="93">
        <f ca="1">IFERROR(__xludf.DUMMYFUNCTION("IMPORTRANGE(""https://docs.google.com/spreadsheets/d/1MeEWN-I1oV_STSDYn1IFDPWt_1FKiwhDph83XaGc0o0/edit?usp=sharing"",""งบพรบ!DD17"")"),23900)</f>
        <v>23900</v>
      </c>
      <c r="N266" s="93">
        <f ca="1">IFERROR(__xludf.DUMMYFUNCTION("IMPORTRANGE(""https://docs.google.com/spreadsheets/d/1MeEWN-I1oV_STSDYn1IFDPWt_1FKiwhDph83XaGc0o0/edit?usp=sharing"",""งบพรบ!DF17"")"),20290)</f>
        <v>20290</v>
      </c>
      <c r="O266" s="93">
        <f t="shared" ca="1" si="118"/>
        <v>75.427509293680302</v>
      </c>
      <c r="P266" s="93">
        <f t="shared" ca="1" si="119"/>
        <v>84.895397489539747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2">L268+L269</f>
        <v>0</v>
      </c>
      <c r="M267" s="466">
        <f t="shared" ca="1" si="122"/>
        <v>0</v>
      </c>
      <c r="N267" s="466">
        <f t="shared" ca="1" si="122"/>
        <v>0</v>
      </c>
      <c r="O267" s="466">
        <f t="shared" ca="1" si="118"/>
        <v>0</v>
      </c>
      <c r="P267" s="466">
        <f t="shared" ca="1" si="11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8"/>
        <v>0</v>
      </c>
      <c r="P268" s="93">
        <f t="shared" si="11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IFERROR(__xludf.DUMMYFUNCTION("IMPORTRANGE(""https://docs.google.com/spreadsheets/d/1MeEWN-I1oV_STSDYn1IFDPWt_1FKiwhDph83XaGc0o0/edit?usp=sharing"",""งบพรบ!DB17"")"),0)</f>
        <v>0</v>
      </c>
      <c r="M269" s="93">
        <f ca="1">IFERROR(__xludf.DUMMYFUNCTION("IMPORTRANGE(""https://docs.google.com/spreadsheets/d/1MeEWN-I1oV_STSDYn1IFDPWt_1FKiwhDph83XaGc0o0/edit?usp=sharing"",""งบพรบ!DE17"")"),0)</f>
        <v>0</v>
      </c>
      <c r="N269" s="93">
        <f ca="1">IFERROR(__xludf.DUMMYFUNCTION("IMPORTRANGE(""https://docs.google.com/spreadsheets/d/1MeEWN-I1oV_STSDYn1IFDPWt_1FKiwhDph83XaGc0o0/edit?usp=sharing"",""งบพรบ!DG17"")"),0)</f>
        <v>0</v>
      </c>
      <c r="O269" s="93">
        <f t="shared" ca="1" si="118"/>
        <v>0</v>
      </c>
      <c r="P269" s="93">
        <f t="shared" ca="1" si="11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3">I288</f>
        <v>25</v>
      </c>
      <c r="J275" s="375">
        <f t="shared" ca="1" si="123"/>
        <v>0</v>
      </c>
      <c r="K275" s="376">
        <f t="shared" ref="K275:K276" ca="1" si="124">IF(I275&gt;0,J275*100/I275,0)</f>
        <v>0</v>
      </c>
      <c r="L275" s="376"/>
      <c r="M275" s="376"/>
      <c r="N275" s="376"/>
      <c r="O275" s="376"/>
      <c r="P275" s="376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5">I287</f>
        <v>250</v>
      </c>
      <c r="J276" s="375">
        <f t="shared" si="125"/>
        <v>250</v>
      </c>
      <c r="K276" s="376">
        <f t="shared" ca="1" si="124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4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6">L278+L279</f>
        <v>257420</v>
      </c>
      <c r="M277" s="155">
        <f t="shared" ca="1" si="126"/>
        <v>168920</v>
      </c>
      <c r="N277" s="155">
        <f t="shared" ca="1" si="126"/>
        <v>119718.14</v>
      </c>
      <c r="O277" s="155">
        <f t="shared" ref="O277:O285" ca="1" si="127">IF(L277&gt;0,N277*100/L277,0)</f>
        <v>46.506930308445341</v>
      </c>
      <c r="P277" s="155">
        <f t="shared" ref="P277:P285" ca="1" si="128">IF(M277&gt;0,N277*100/M277,0)</f>
        <v>70.872685294814119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9">L281+L284</f>
        <v>0</v>
      </c>
      <c r="M278" s="93">
        <f t="shared" si="129"/>
        <v>0</v>
      </c>
      <c r="N278" s="93">
        <f t="shared" si="129"/>
        <v>0</v>
      </c>
      <c r="O278" s="93">
        <f t="shared" si="127"/>
        <v>0</v>
      </c>
      <c r="P278" s="93">
        <f t="shared" si="12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9"/>
        <v>257420</v>
      </c>
      <c r="M279" s="93">
        <f t="shared" ca="1" si="129"/>
        <v>168920</v>
      </c>
      <c r="N279" s="93">
        <f t="shared" ca="1" si="129"/>
        <v>119718.14</v>
      </c>
      <c r="O279" s="93">
        <f t="shared" ca="1" si="127"/>
        <v>46.506930308445341</v>
      </c>
      <c r="P279" s="93">
        <f t="shared" ca="1" si="128"/>
        <v>70.872685294814119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30">L281+L282</f>
        <v>257420</v>
      </c>
      <c r="M280" s="466">
        <f t="shared" ca="1" si="130"/>
        <v>168920</v>
      </c>
      <c r="N280" s="466">
        <f t="shared" ca="1" si="130"/>
        <v>119718.14</v>
      </c>
      <c r="O280" s="466">
        <f t="shared" ca="1" si="127"/>
        <v>46.506930308445341</v>
      </c>
      <c r="P280" s="466">
        <f t="shared" ca="1" si="128"/>
        <v>70.872685294814119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7"/>
        <v>0</v>
      </c>
      <c r="P281" s="93">
        <f t="shared" si="12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IFERROR(__xludf.DUMMYFUNCTION("IMPORTRANGE(""https://docs.google.com/spreadsheets/d/1MeEWN-I1oV_STSDYn1IFDPWt_1FKiwhDph83XaGc0o0/edit?usp=sharing"",""งบพรบ!DI17"")"),257420)</f>
        <v>257420</v>
      </c>
      <c r="M282" s="93">
        <f ca="1">IFERROR(__xludf.DUMMYFUNCTION("IMPORTRANGE(""https://docs.google.com/spreadsheets/d/1MeEWN-I1oV_STSDYn1IFDPWt_1FKiwhDph83XaGc0o0/edit?usp=sharing"",""งบพรบ!DN17"")"),168920)</f>
        <v>168920</v>
      </c>
      <c r="N282" s="93">
        <f ca="1">IFERROR(__xludf.DUMMYFUNCTION("IMPORTRANGE(""https://docs.google.com/spreadsheets/d/1MeEWN-I1oV_STSDYn1IFDPWt_1FKiwhDph83XaGc0o0/edit?usp=sharing"",""งบพรบ!DP17"")"),119718.14)</f>
        <v>119718.14</v>
      </c>
      <c r="O282" s="93">
        <f t="shared" ca="1" si="127"/>
        <v>46.506930308445341</v>
      </c>
      <c r="P282" s="93">
        <f t="shared" ca="1" si="128"/>
        <v>70.872685294814119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1">L284+L285</f>
        <v>0</v>
      </c>
      <c r="M283" s="466">
        <f t="shared" ca="1" si="131"/>
        <v>0</v>
      </c>
      <c r="N283" s="466">
        <f t="shared" ca="1" si="131"/>
        <v>0</v>
      </c>
      <c r="O283" s="466">
        <f t="shared" ca="1" si="127"/>
        <v>0</v>
      </c>
      <c r="P283" s="466">
        <f t="shared" ca="1" si="12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7"/>
        <v>0</v>
      </c>
      <c r="P284" s="93">
        <f t="shared" si="12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IFERROR(__xludf.DUMMYFUNCTION("IMPORTRANGE(""https://docs.google.com/spreadsheets/d/1MeEWN-I1oV_STSDYn1IFDPWt_1FKiwhDph83XaGc0o0/edit?usp=sharing"",""งบพรบ!DL17"")"),0)</f>
        <v>0</v>
      </c>
      <c r="M285" s="93">
        <f ca="1">IFERROR(__xludf.DUMMYFUNCTION("IMPORTRANGE(""https://docs.google.com/spreadsheets/d/1MeEWN-I1oV_STSDYn1IFDPWt_1FKiwhDph83XaGc0o0/edit?usp=sharing"",""งบพรบ!DO17"")"),0)</f>
        <v>0</v>
      </c>
      <c r="N285" s="93">
        <f ca="1">IFERROR(__xludf.DUMMYFUNCTION("IMPORTRANGE(""https://docs.google.com/spreadsheets/d/1MeEWN-I1oV_STSDYn1IFDPWt_1FKiwhDph83XaGc0o0/edit?usp=sharing"",""งบพรบ!DQ17"")"),0)</f>
        <v>0</v>
      </c>
      <c r="O285" s="93">
        <f t="shared" ca="1" si="127"/>
        <v>0</v>
      </c>
      <c r="P285" s="93">
        <f t="shared" ca="1" si="12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IFERROR(__xludf.DUMMYFUNCTION("IMPORTRANGE(""https://docs.google.com/spreadsheets/d/1QqKyyYR6Q21VydFLVH3TRQUabQu_ym0Zz7PgGX0-kHA/edit?usp=sharing"",""แผน!EC17"")"),250)</f>
        <v>250</v>
      </c>
      <c r="J287" s="215">
        <v>250</v>
      </c>
      <c r="K287" s="163">
        <f t="shared" ref="K287:K288" ca="1" si="132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IFERROR(__xludf.DUMMYFUNCTION("IMPORTRANGE(""https://docs.google.com/spreadsheets/d/1QqKyyYR6Q21VydFLVH3TRQUabQu_ym0Zz7PgGX0-kHA/edit?usp=sharing"",""แผน!EB17"")"),25)</f>
        <v>25</v>
      </c>
      <c r="J288" s="648">
        <f ca="1">IF(AND(J291&gt;=I288,J294&gt;=I288),J294,0)</f>
        <v>0</v>
      </c>
      <c r="K288" s="380">
        <f t="shared" ca="1" si="132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IFERROR(__xludf.DUMMYFUNCTION("IMPORTRANGE(""https://docs.google.com/spreadsheets/d/1QqKyyYR6Q21VydFLVH3TRQUabQu_ym0Zz7PgGX0-kHA/edit?usp=sharing"",""แผน!EB17"")"),25)</f>
        <v>25</v>
      </c>
      <c r="J290" s="215">
        <v>25</v>
      </c>
      <c r="K290" s="163">
        <f t="shared" ref="K290:K291" ca="1" si="133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IFERROR(__xludf.DUMMYFUNCTION("IMPORTRANGE(""https://docs.google.com/spreadsheets/d/1QqKyyYR6Q21VydFLVH3TRQUabQu_ym0Zz7PgGX0-kHA/edit?usp=sharing"",""แผน!EB17"")"),25)</f>
        <v>25</v>
      </c>
      <c r="J291" s="215">
        <v>25</v>
      </c>
      <c r="K291" s="163">
        <f t="shared" ca="1" si="133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IFERROR(__xludf.DUMMYFUNCTION("IMPORTRANGE(""https://docs.google.com/spreadsheets/d/1QqKyyYR6Q21VydFLVH3TRQUabQu_ym0Zz7PgGX0-kHA/edit?usp=sharing"",""แผน!EB17"")"),25)</f>
        <v>25</v>
      </c>
      <c r="J293" s="215">
        <v>0</v>
      </c>
      <c r="K293" s="163">
        <f t="shared" ref="K293:K294" ca="1" si="134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1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IFERROR(__xludf.DUMMYFUNCTION("IMPORTRANGE(""https://docs.google.com/spreadsheets/d/1QqKyyYR6Q21VydFLVH3TRQUabQu_ym0Zz7PgGX0-kHA/edit?usp=sharing"",""แผน!EB17"")"),25)</f>
        <v>25</v>
      </c>
      <c r="J294" s="393">
        <v>0</v>
      </c>
      <c r="K294" s="354">
        <f t="shared" ca="1" si="134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5">I309</f>
        <v>20</v>
      </c>
      <c r="J297" s="413">
        <f t="shared" si="135"/>
        <v>20</v>
      </c>
      <c r="K297" s="414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4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6">L299+L300</f>
        <v>368400</v>
      </c>
      <c r="M298" s="155">
        <f t="shared" ca="1" si="136"/>
        <v>272400</v>
      </c>
      <c r="N298" s="155">
        <f t="shared" ca="1" si="136"/>
        <v>119545</v>
      </c>
      <c r="O298" s="155">
        <f t="shared" ref="O298:O306" ca="1" si="137">IF(L298&gt;0,N298*100/L298,0)</f>
        <v>32.449782844733981</v>
      </c>
      <c r="P298" s="155">
        <f t="shared" ref="P298:P306" ca="1" si="138">IF(M298&gt;0,N298*100/M298,0)</f>
        <v>43.885829662261379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9">L302+L305</f>
        <v>0</v>
      </c>
      <c r="M299" s="93">
        <f t="shared" si="139"/>
        <v>0</v>
      </c>
      <c r="N299" s="93">
        <f t="shared" si="139"/>
        <v>0</v>
      </c>
      <c r="O299" s="93">
        <f t="shared" si="137"/>
        <v>0</v>
      </c>
      <c r="P299" s="93">
        <f t="shared" si="138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9"/>
        <v>368400</v>
      </c>
      <c r="M300" s="93">
        <f t="shared" ca="1" si="139"/>
        <v>272400</v>
      </c>
      <c r="N300" s="93">
        <f t="shared" ca="1" si="139"/>
        <v>119545</v>
      </c>
      <c r="O300" s="93">
        <f t="shared" ca="1" si="137"/>
        <v>32.449782844733981</v>
      </c>
      <c r="P300" s="93">
        <f t="shared" ca="1" si="138"/>
        <v>43.885829662261379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40">L302+L303</f>
        <v>368400</v>
      </c>
      <c r="M301" s="466">
        <f t="shared" ca="1" si="140"/>
        <v>272400</v>
      </c>
      <c r="N301" s="466">
        <f t="shared" ca="1" si="140"/>
        <v>119545</v>
      </c>
      <c r="O301" s="466">
        <f t="shared" ca="1" si="137"/>
        <v>32.449782844733981</v>
      </c>
      <c r="P301" s="466">
        <f t="shared" ca="1" si="138"/>
        <v>43.885829662261379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7"/>
        <v>0</v>
      </c>
      <c r="P302" s="93">
        <f t="shared" si="138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IFERROR(__xludf.DUMMYFUNCTION("IMPORTRANGE(""https://docs.google.com/spreadsheets/d/1MeEWN-I1oV_STSDYn1IFDPWt_1FKiwhDph83XaGc0o0/edit?usp=sharing"",""งบพรบ!DS17"")"),368400)</f>
        <v>368400</v>
      </c>
      <c r="M303" s="93">
        <f ca="1">IFERROR(__xludf.DUMMYFUNCTION("IMPORTRANGE(""https://docs.google.com/spreadsheets/d/1MeEWN-I1oV_STSDYn1IFDPWt_1FKiwhDph83XaGc0o0/edit?usp=sharing"",""งบพรบ!DX17"")"),272400)</f>
        <v>272400</v>
      </c>
      <c r="N303" s="93">
        <f ca="1">IFERROR(__xludf.DUMMYFUNCTION("IMPORTRANGE(""https://docs.google.com/spreadsheets/d/1MeEWN-I1oV_STSDYn1IFDPWt_1FKiwhDph83XaGc0o0/edit?usp=sharing"",""งบพรบ!DZ17"")"),119545)</f>
        <v>119545</v>
      </c>
      <c r="O303" s="93">
        <f t="shared" ca="1" si="137"/>
        <v>32.449782844733981</v>
      </c>
      <c r="P303" s="93">
        <f t="shared" ca="1" si="138"/>
        <v>43.885829662261379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1">L305+L306</f>
        <v>0</v>
      </c>
      <c r="M304" s="466">
        <f t="shared" ca="1" si="141"/>
        <v>0</v>
      </c>
      <c r="N304" s="466">
        <f t="shared" ca="1" si="141"/>
        <v>0</v>
      </c>
      <c r="O304" s="466">
        <f t="shared" ca="1" si="137"/>
        <v>0</v>
      </c>
      <c r="P304" s="466">
        <f t="shared" ca="1" si="138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7"/>
        <v>0</v>
      </c>
      <c r="P305" s="93">
        <f t="shared" si="138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IFERROR(__xludf.DUMMYFUNCTION("IMPORTRANGE(""https://docs.google.com/spreadsheets/d/1MeEWN-I1oV_STSDYn1IFDPWt_1FKiwhDph83XaGc0o0/edit?usp=sharing"",""งบพรบ!DV17"")"),0)</f>
        <v>0</v>
      </c>
      <c r="M306" s="93">
        <f ca="1">IFERROR(__xludf.DUMMYFUNCTION("IMPORTRANGE(""https://docs.google.com/spreadsheets/d/1MeEWN-I1oV_STSDYn1IFDPWt_1FKiwhDph83XaGc0o0/edit?usp=sharing"",""งบพรบ!DY17"")"),0)</f>
        <v>0</v>
      </c>
      <c r="N306" s="93">
        <f ca="1">IFERROR(__xludf.DUMMYFUNCTION("IMPORTRANGE(""https://docs.google.com/spreadsheets/d/1MeEWN-I1oV_STSDYn1IFDPWt_1FKiwhDph83XaGc0o0/edit?usp=sharing"",""งบพรบ!EA17"")"),0)</f>
        <v>0</v>
      </c>
      <c r="O306" s="93">
        <f t="shared" ca="1" si="137"/>
        <v>0</v>
      </c>
      <c r="P306" s="93">
        <f t="shared" ca="1" si="138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IFERROR(__xludf.DUMMYFUNCTION("IMPORTRANGE(""https://docs.google.com/spreadsheets/d/1QqKyyYR6Q21VydFLVH3TRQUabQu_ym0Zz7PgGX0-kHA/edit?usp=sharing"",""แผน!ED17"")"),20)</f>
        <v>20</v>
      </c>
      <c r="J309" s="215">
        <v>20</v>
      </c>
      <c r="K309" s="466">
        <f t="shared" ref="K309:K312" ca="1" si="142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IFERROR(__xludf.DUMMYFUNCTION("IMPORTRANGE(""https://docs.google.com/spreadsheets/d/1QqKyyYR6Q21VydFLVH3TRQUabQu_ym0Zz7PgGX0-kHA/edit?usp=sharing"",""แผน!ED17"")"),20)</f>
        <v>20</v>
      </c>
      <c r="J310" s="215">
        <v>0</v>
      </c>
      <c r="K310" s="466">
        <f t="shared" ca="1" si="142"/>
        <v>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IFERROR(__xludf.DUMMYFUNCTION("IMPORTRANGE(""https://docs.google.com/spreadsheets/d/1QqKyyYR6Q21VydFLVH3TRQUabQu_ym0Zz7PgGX0-kHA/edit?usp=sharing"",""แผน!ED17"")"),20)</f>
        <v>20</v>
      </c>
      <c r="J311" s="215">
        <v>0</v>
      </c>
      <c r="K311" s="466">
        <f t="shared" ca="1" si="142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IFERROR(__xludf.DUMMYFUNCTION("IMPORTRANGE(""https://docs.google.com/spreadsheets/d/1QqKyyYR6Q21VydFLVH3TRQUabQu_ym0Zz7PgGX0-kHA/edit?usp=sharing"",""แผน!EE17"")"),4)</f>
        <v>4</v>
      </c>
      <c r="J312" s="215">
        <v>0</v>
      </c>
      <c r="K312" s="466">
        <f t="shared" ca="1" si="142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3">I325</f>
        <v>0</v>
      </c>
      <c r="J314" s="413">
        <f t="shared" si="143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4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4">L316+L317</f>
        <v>0</v>
      </c>
      <c r="M315" s="155">
        <f t="shared" ca="1" si="144"/>
        <v>0</v>
      </c>
      <c r="N315" s="155">
        <f t="shared" ca="1" si="144"/>
        <v>0</v>
      </c>
      <c r="O315" s="155">
        <f t="shared" ref="O315:O323" ca="1" si="145">IF(L315&gt;0,N315*100/L315,0)</f>
        <v>0</v>
      </c>
      <c r="P315" s="155">
        <f t="shared" ref="P315:P323" ca="1" si="146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7">L319+L322</f>
        <v>0</v>
      </c>
      <c r="M316" s="93">
        <f t="shared" si="147"/>
        <v>0</v>
      </c>
      <c r="N316" s="93">
        <f t="shared" si="147"/>
        <v>0</v>
      </c>
      <c r="O316" s="93">
        <f t="shared" si="145"/>
        <v>0</v>
      </c>
      <c r="P316" s="93">
        <f t="shared" si="146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7"/>
        <v>0</v>
      </c>
      <c r="M317" s="93">
        <f t="shared" ca="1" si="147"/>
        <v>0</v>
      </c>
      <c r="N317" s="93">
        <f t="shared" ca="1" si="147"/>
        <v>0</v>
      </c>
      <c r="O317" s="93">
        <f t="shared" ca="1" si="145"/>
        <v>0</v>
      </c>
      <c r="P317" s="93">
        <f t="shared" ca="1" si="146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8">L319+L320</f>
        <v>0</v>
      </c>
      <c r="M318" s="466">
        <f t="shared" ca="1" si="148"/>
        <v>0</v>
      </c>
      <c r="N318" s="466">
        <f t="shared" ca="1" si="148"/>
        <v>0</v>
      </c>
      <c r="O318" s="466">
        <f t="shared" ca="1" si="145"/>
        <v>0</v>
      </c>
      <c r="P318" s="466">
        <f t="shared" ca="1" si="146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5"/>
        <v>0</v>
      </c>
      <c r="P319" s="93">
        <f t="shared" si="146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IFERROR(__xludf.DUMMYFUNCTION("IMPORTRANGE(""https://docs.google.com/spreadsheets/d/1MeEWN-I1oV_STSDYn1IFDPWt_1FKiwhDph83XaGc0o0/edit?usp=sharing"",""งบพรบ!EC17"")"),0)</f>
        <v>0</v>
      </c>
      <c r="M320" s="93">
        <f ca="1">IFERROR(__xludf.DUMMYFUNCTION("IMPORTRANGE(""https://docs.google.com/spreadsheets/d/1MeEWN-I1oV_STSDYn1IFDPWt_1FKiwhDph83XaGc0o0/edit?usp=sharing"",""งบพรบ!EH17"")"),0)</f>
        <v>0</v>
      </c>
      <c r="N320" s="93">
        <f ca="1">IFERROR(__xludf.DUMMYFUNCTION("IMPORTRANGE(""https://docs.google.com/spreadsheets/d/1MeEWN-I1oV_STSDYn1IFDPWt_1FKiwhDph83XaGc0o0/edit?usp=sharing"",""งบพรบ!EJ17"")"),0)</f>
        <v>0</v>
      </c>
      <c r="O320" s="93">
        <f t="shared" ca="1" si="145"/>
        <v>0</v>
      </c>
      <c r="P320" s="93">
        <f t="shared" ca="1" si="146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9">L322+L323</f>
        <v>0</v>
      </c>
      <c r="M321" s="466">
        <f t="shared" ca="1" si="149"/>
        <v>0</v>
      </c>
      <c r="N321" s="466">
        <f t="shared" ca="1" si="149"/>
        <v>0</v>
      </c>
      <c r="O321" s="466">
        <f t="shared" ca="1" si="145"/>
        <v>0</v>
      </c>
      <c r="P321" s="466">
        <f t="shared" ca="1" si="146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5"/>
        <v>0</v>
      </c>
      <c r="P322" s="93">
        <f t="shared" si="146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IFERROR(__xludf.DUMMYFUNCTION("IMPORTRANGE(""https://docs.google.com/spreadsheets/d/1MeEWN-I1oV_STSDYn1IFDPWt_1FKiwhDph83XaGc0o0/edit?usp=sharing"",""งบพรบ!EF17"")"),0)</f>
        <v>0</v>
      </c>
      <c r="M323" s="93">
        <f ca="1">IFERROR(__xludf.DUMMYFUNCTION("IMPORTRANGE(""https://docs.google.com/spreadsheets/d/1MeEWN-I1oV_STSDYn1IFDPWt_1FKiwhDph83XaGc0o0/edit?usp=sharing"",""งบพรบ!EI17"")"),0)</f>
        <v>0</v>
      </c>
      <c r="N323" s="93">
        <f ca="1">IFERROR(__xludf.DUMMYFUNCTION("IMPORTRANGE(""https://docs.google.com/spreadsheets/d/1MeEWN-I1oV_STSDYn1IFDPWt_1FKiwhDph83XaGc0o0/edit?usp=sharing"",""งบพรบ!EK17"")"),0)</f>
        <v>0</v>
      </c>
      <c r="O323" s="93">
        <f t="shared" ca="1" si="145"/>
        <v>0</v>
      </c>
      <c r="P323" s="93">
        <f t="shared" ca="1" si="146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IFERROR(__xludf.DUMMYFUNCTION("IMPORTRANGE(""https://docs.google.com/spreadsheets/d/1QqKyyYR6Q21VydFLVH3TRQUabQu_ym0Zz7PgGX0-kHA/edit?usp=sharing"",""แผน!EF17"")"),0)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IFERROR(__xludf.DUMMYFUNCTION("IMPORTRANGE(""https://docs.google.com/spreadsheets/d/1QqKyyYR6Q21VydFLVH3TRQUabQu_ym0Zz7PgGX0-kHA/edit?usp=sharing"",""แผน!EG17"")"),900)</f>
        <v>900</v>
      </c>
      <c r="J327" s="413">
        <f ca="1">J338+J341+J342+J343</f>
        <v>969</v>
      </c>
      <c r="K327" s="414">
        <f ca="1">IF(I327&gt;0,J327*100/I327,0)</f>
        <v>107.66666666666667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4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50">L329+L330</f>
        <v>165000</v>
      </c>
      <c r="M328" s="155">
        <f t="shared" ca="1" si="150"/>
        <v>123750</v>
      </c>
      <c r="N328" s="155">
        <f t="shared" ca="1" si="150"/>
        <v>48940</v>
      </c>
      <c r="O328" s="155">
        <f t="shared" ref="O328:O336" ca="1" si="151">IF(L328&gt;0,N328*100/L328,0)</f>
        <v>29.66060606060606</v>
      </c>
      <c r="P328" s="155">
        <f t="shared" ref="P328:P336" ca="1" si="152">IF(M328&gt;0,N328*100/M328,0)</f>
        <v>39.547474747474745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3">L332+L335</f>
        <v>0</v>
      </c>
      <c r="M329" s="93">
        <f t="shared" si="153"/>
        <v>0</v>
      </c>
      <c r="N329" s="93">
        <f t="shared" si="153"/>
        <v>0</v>
      </c>
      <c r="O329" s="93">
        <f t="shared" si="151"/>
        <v>0</v>
      </c>
      <c r="P329" s="93">
        <f t="shared" si="152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3"/>
        <v>165000</v>
      </c>
      <c r="M330" s="93">
        <f t="shared" ca="1" si="153"/>
        <v>123750</v>
      </c>
      <c r="N330" s="93">
        <f t="shared" ca="1" si="153"/>
        <v>48940</v>
      </c>
      <c r="O330" s="93">
        <f t="shared" ca="1" si="151"/>
        <v>29.66060606060606</v>
      </c>
      <c r="P330" s="93">
        <f t="shared" ca="1" si="152"/>
        <v>39.547474747474745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4">L332+L333</f>
        <v>165000</v>
      </c>
      <c r="M331" s="466">
        <f t="shared" ca="1" si="154"/>
        <v>123750</v>
      </c>
      <c r="N331" s="466">
        <f t="shared" ca="1" si="154"/>
        <v>48940</v>
      </c>
      <c r="O331" s="466">
        <f t="shared" ca="1" si="151"/>
        <v>29.66060606060606</v>
      </c>
      <c r="P331" s="466">
        <f t="shared" ca="1" si="152"/>
        <v>39.547474747474745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1"/>
        <v>0</v>
      </c>
      <c r="P332" s="93">
        <f t="shared" si="152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IFERROR(__xludf.DUMMYFUNCTION("IMPORTRANGE(""https://docs.google.com/spreadsheets/d/1MeEWN-I1oV_STSDYn1IFDPWt_1FKiwhDph83XaGc0o0/edit?usp=sharing"",""งบพรบ!EM17"")"),165000)</f>
        <v>165000</v>
      </c>
      <c r="M333" s="93">
        <f ca="1">IFERROR(__xludf.DUMMYFUNCTION("IMPORTRANGE(""https://docs.google.com/spreadsheets/d/1MeEWN-I1oV_STSDYn1IFDPWt_1FKiwhDph83XaGc0o0/edit?usp=sharing"",""งบพรบ!ER17"")"),123750)</f>
        <v>123750</v>
      </c>
      <c r="N333" s="93">
        <f ca="1">IFERROR(__xludf.DUMMYFUNCTION("IMPORTRANGE(""https://docs.google.com/spreadsheets/d/1MeEWN-I1oV_STSDYn1IFDPWt_1FKiwhDph83XaGc0o0/edit?usp=sharing"",""งบพรบ!ET17"")"),48940)</f>
        <v>48940</v>
      </c>
      <c r="O333" s="93">
        <f t="shared" ca="1" si="151"/>
        <v>29.66060606060606</v>
      </c>
      <c r="P333" s="93">
        <f t="shared" ca="1" si="152"/>
        <v>39.547474747474745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5">L335+L336</f>
        <v>0</v>
      </c>
      <c r="M334" s="466">
        <f t="shared" ca="1" si="155"/>
        <v>0</v>
      </c>
      <c r="N334" s="466">
        <f t="shared" ca="1" si="155"/>
        <v>0</v>
      </c>
      <c r="O334" s="466">
        <f t="shared" ca="1" si="151"/>
        <v>0</v>
      </c>
      <c r="P334" s="466">
        <f t="shared" ca="1" si="152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1"/>
        <v>0</v>
      </c>
      <c r="P335" s="93">
        <f t="shared" si="152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IFERROR(__xludf.DUMMYFUNCTION("IMPORTRANGE(""https://docs.google.com/spreadsheets/d/1MeEWN-I1oV_STSDYn1IFDPWt_1FKiwhDph83XaGc0o0/edit?usp=sharing"",""งบพรบ!EP17"")"),0)</f>
        <v>0</v>
      </c>
      <c r="M336" s="93">
        <f ca="1">IFERROR(__xludf.DUMMYFUNCTION("IMPORTRANGE(""https://docs.google.com/spreadsheets/d/1MeEWN-I1oV_STSDYn1IFDPWt_1FKiwhDph83XaGc0o0/edit?usp=sharing"",""งบพรบ!ES17"")"),0)</f>
        <v>0</v>
      </c>
      <c r="N336" s="93">
        <f ca="1">IFERROR(__xludf.DUMMYFUNCTION("IMPORTRANGE(""https://docs.google.com/spreadsheets/d/1MeEWN-I1oV_STSDYn1IFDPWt_1FKiwhDph83XaGc0o0/edit?usp=sharing"",""งบพรบ!EU17"")"),0)</f>
        <v>0</v>
      </c>
      <c r="O336" s="93">
        <f t="shared" ca="1" si="151"/>
        <v>0</v>
      </c>
      <c r="P336" s="93">
        <f t="shared" ca="1" si="152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IFERROR(__xludf.DUMMYFUNCTION("IMPORTRANGE(""https://docs.google.com/spreadsheets/d/1QqKyyYR6Q21VydFLVH3TRQUabQu_ym0Zz7PgGX0-kHA/edit?usp=sharing"",""แผน!EG17"")"),900)</f>
        <v>900</v>
      </c>
      <c r="J338" s="270">
        <f ca="1">IFERROR(__xludf.DUMMYFUNCTION("IMPORTRANGE(""https://docs.google.com/spreadsheets/d/1kVcqe37tkHyjCSG3S0O1AXqVkqjo8mSIZil3BcpIysc/edit?usp=sharing"",""ศูนย์!D17"")"),576)</f>
        <v>576</v>
      </c>
      <c r="K338" s="466">
        <f ca="1">IF(I338&gt;0,J338*100/I338,0)</f>
        <v>64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IFERROR(__xludf.DUMMYFUNCTION("IMPORTRANGE(""https://docs.google.com/spreadsheets/d/1QqKyyYR6Q21VydFLVH3TRQUabQu_ym0Zz7PgGX0-kHA/edit?usp=sharing"",""แผน!EH17"")"),6)</f>
        <v>6</v>
      </c>
      <c r="J340" s="270">
        <f ca="1">IFERROR(__xludf.DUMMYFUNCTION("IMPORTRANGE(""https://docs.google.com/spreadsheets/d/1kVcqe37tkHyjCSG3S0O1AXqVkqjo8mSIZil3BcpIysc/edit?usp=sharing"",""ศูนย์!E17"")"),4)</f>
        <v>4</v>
      </c>
      <c r="K340" s="466">
        <f ca="1">IF(I340&gt;0,J340*100/I340,0)</f>
        <v>66.666666666666671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IFERROR(__xludf.DUMMYFUNCTION("IMPORTRANGE(""https://docs.google.com/spreadsheets/d/1kVcqe37tkHyjCSG3S0O1AXqVkqjo8mSIZil3BcpIysc/edit?usp=sharing"",""ศูนย์!F17"")"),393)</f>
        <v>393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IFERROR(__xludf.DUMMYFUNCTION("IMPORTRANGE(""https://docs.google.com/spreadsheets/d/1kVcqe37tkHyjCSG3S0O1AXqVkqjo8mSIZil3BcpIysc/edit?usp=sharing"",""ศูนย์!G17"")"),0)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IFERROR(__xludf.DUMMYFUNCTION("IMPORTRANGE(""https://docs.google.com/spreadsheets/d/1kVcqe37tkHyjCSG3S0O1AXqVkqjo8mSIZil3BcpIysc/edit?usp=sharing"",""ศูนย์!H17"")"),0)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4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6">L346+L347</f>
        <v>768200</v>
      </c>
      <c r="M345" s="155">
        <f t="shared" ca="1" si="156"/>
        <v>527780</v>
      </c>
      <c r="N345" s="155">
        <f t="shared" ca="1" si="156"/>
        <v>293384</v>
      </c>
      <c r="O345" s="155">
        <f t="shared" ref="O345:O353" ca="1" si="157">IF(L345&gt;0,N345*100/L345,0)</f>
        <v>38.191096068732101</v>
      </c>
      <c r="P345" s="155">
        <f t="shared" ref="P345:P353" ca="1" si="158">IF(M345&gt;0,N345*100/M345,0)</f>
        <v>55.588313312365003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9">L349+L352</f>
        <v>0</v>
      </c>
      <c r="M346" s="93">
        <f t="shared" si="159"/>
        <v>0</v>
      </c>
      <c r="N346" s="93">
        <f t="shared" si="159"/>
        <v>0</v>
      </c>
      <c r="O346" s="93">
        <f t="shared" si="157"/>
        <v>0</v>
      </c>
      <c r="P346" s="93">
        <f t="shared" si="158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9"/>
        <v>768200</v>
      </c>
      <c r="M347" s="93">
        <f t="shared" ca="1" si="159"/>
        <v>527780</v>
      </c>
      <c r="N347" s="93">
        <f t="shared" ca="1" si="159"/>
        <v>293384</v>
      </c>
      <c r="O347" s="93">
        <f t="shared" ca="1" si="157"/>
        <v>38.191096068732101</v>
      </c>
      <c r="P347" s="93">
        <f t="shared" ca="1" si="158"/>
        <v>55.588313312365003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60">L349+L350</f>
        <v>695600</v>
      </c>
      <c r="M348" s="466">
        <f t="shared" ca="1" si="160"/>
        <v>456200</v>
      </c>
      <c r="N348" s="466">
        <f t="shared" ca="1" si="160"/>
        <v>221804</v>
      </c>
      <c r="O348" s="466">
        <f t="shared" ca="1" si="157"/>
        <v>31.88671650373778</v>
      </c>
      <c r="P348" s="466">
        <f t="shared" ca="1" si="158"/>
        <v>48.619903551074088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7"/>
        <v>0</v>
      </c>
      <c r="P349" s="93">
        <f t="shared" si="158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IFERROR(__xludf.DUMMYFUNCTION("IMPORTRANGE(""https://docs.google.com/spreadsheets/d/1MeEWN-I1oV_STSDYn1IFDPWt_1FKiwhDph83XaGc0o0/edit?usp=sharing"",""งบพรบ!EW17"")"),695600)</f>
        <v>695600</v>
      </c>
      <c r="M350" s="93">
        <f ca="1">IFERROR(__xludf.DUMMYFUNCTION("IMPORTRANGE(""https://docs.google.com/spreadsheets/d/1MeEWN-I1oV_STSDYn1IFDPWt_1FKiwhDph83XaGc0o0/edit?usp=sharing"",""งบพรบ!FB17"")"),456200)</f>
        <v>456200</v>
      </c>
      <c r="N350" s="93">
        <f ca="1">IFERROR(__xludf.DUMMYFUNCTION("IMPORTRANGE(""https://docs.google.com/spreadsheets/d/1MeEWN-I1oV_STSDYn1IFDPWt_1FKiwhDph83XaGc0o0/edit?usp=sharing"",""งบพรบ!FD17"")"),221804)</f>
        <v>221804</v>
      </c>
      <c r="O350" s="93">
        <f t="shared" ca="1" si="157"/>
        <v>31.88671650373778</v>
      </c>
      <c r="P350" s="93">
        <f t="shared" ca="1" si="158"/>
        <v>48.619903551074088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1">L352+L353</f>
        <v>72600</v>
      </c>
      <c r="M351" s="466">
        <f t="shared" ca="1" si="161"/>
        <v>71580</v>
      </c>
      <c r="N351" s="466">
        <f t="shared" ca="1" si="161"/>
        <v>71580</v>
      </c>
      <c r="O351" s="466">
        <f t="shared" ca="1" si="157"/>
        <v>98.595041322314046</v>
      </c>
      <c r="P351" s="466">
        <f t="shared" ca="1" si="158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7"/>
        <v>0</v>
      </c>
      <c r="P352" s="93">
        <f t="shared" si="158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IFERROR(__xludf.DUMMYFUNCTION("IMPORTRANGE(""https://docs.google.com/spreadsheets/d/1MeEWN-I1oV_STSDYn1IFDPWt_1FKiwhDph83XaGc0o0/edit?usp=sharing"",""งบพรบ!EZ17"")"),72600)</f>
        <v>72600</v>
      </c>
      <c r="M353" s="93">
        <f ca="1">IFERROR(__xludf.DUMMYFUNCTION("IMPORTRANGE(""https://docs.google.com/spreadsheets/d/1MeEWN-I1oV_STSDYn1IFDPWt_1FKiwhDph83XaGc0o0/edit?usp=sharing"",""งบพรบ!FC17"")"),71580)</f>
        <v>71580</v>
      </c>
      <c r="N353" s="93">
        <f ca="1">IFERROR(__xludf.DUMMYFUNCTION("IMPORTRANGE(""https://docs.google.com/spreadsheets/d/1MeEWN-I1oV_STSDYn1IFDPWt_1FKiwhDph83XaGc0o0/edit?usp=sharing"",""งบพรบ!FE17"")"),71580)</f>
        <v>71580</v>
      </c>
      <c r="O353" s="93">
        <f t="shared" ca="1" si="157"/>
        <v>98.595041322314046</v>
      </c>
      <c r="P353" s="93">
        <f t="shared" ca="1" si="158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IFERROR(__xludf.DUMMYFUNCTION("IMPORTRANGE(""https://docs.google.com/spreadsheets/d/1QqKyyYR6Q21VydFLVH3TRQUabQu_ym0Zz7PgGX0-kHA/edit?usp=sharing"",""แผน!EP17"")"),250)</f>
        <v>250</v>
      </c>
      <c r="J355" s="433">
        <f ca="1">J362</f>
        <v>62</v>
      </c>
      <c r="K355" s="434">
        <f ca="1">IF(I355&gt;0,J355*100/I355,0)</f>
        <v>24.8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IFERROR(__xludf.DUMMYFUNCTION("IMPORTRANGE(""https://docs.google.com/spreadsheets/d/1XWAQStnk-4SwqDmLtmXYiTMKHgktTP8We1SCoS47DrQ/edit?usp=sharing"",""จัดที่ดิน!W17"")"),93)</f>
        <v>93</v>
      </c>
      <c r="K358" s="466">
        <f t="shared" ref="K358:K365" si="162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IFERROR(__xludf.DUMMYFUNCTION("IMPORTRANGE(""https://docs.google.com/spreadsheets/d/1QqKyyYR6Q21VydFLVH3TRQUabQu_ym0Zz7PgGX0-kHA/edit?usp=sharing"",""แผน!EO17"")"),2500)</f>
        <v>2500</v>
      </c>
      <c r="J359" s="270">
        <f ca="1">IFERROR(__xludf.DUMMYFUNCTION("IMPORTRANGE(""https://docs.google.com/spreadsheets/d/1XWAQStnk-4SwqDmLtmXYiTMKHgktTP8We1SCoS47DrQ/edit?usp=sharing"",""จัดที่ดิน!X17"")"),855.44)</f>
        <v>855.44</v>
      </c>
      <c r="K359" s="466">
        <f t="shared" ca="1" si="162"/>
        <v>34.217599999999997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IFERROR(__xludf.DUMMYFUNCTION("IMPORTRANGE(""https://docs.google.com/spreadsheets/d/1QqKyyYR6Q21VydFLVH3TRQUabQu_ym0Zz7PgGX0-kHA/edit?usp=sharing"",""แผน!EP17"")"),250)</f>
        <v>250</v>
      </c>
      <c r="J360" s="270">
        <f ca="1">IFERROR(__xludf.DUMMYFUNCTION("IMPORTRANGE(""https://docs.google.com/spreadsheets/d/1XWAQStnk-4SwqDmLtmXYiTMKHgktTP8We1SCoS47DrQ/edit?usp=sharing"",""จัดที่ดิน!Y17"")"),72)</f>
        <v>72</v>
      </c>
      <c r="K360" s="466">
        <f t="shared" ca="1" si="162"/>
        <v>28.8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IFERROR(__xludf.DUMMYFUNCTION("IMPORTRANGE(""https://docs.google.com/spreadsheets/d/1XWAQStnk-4SwqDmLtmXYiTMKHgktTP8We1SCoS47DrQ/edit?usp=sharing"",""จัดที่ดิน!Z17"")"),684.18)</f>
        <v>684.18</v>
      </c>
      <c r="K361" s="466">
        <f t="shared" si="162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IFERROR(__xludf.DUMMYFUNCTION("IMPORTRANGE(""https://docs.google.com/spreadsheets/d/1QqKyyYR6Q21VydFLVH3TRQUabQu_ym0Zz7PgGX0-kHA/edit?usp=sharing"",""แผน!EP17"")"),250)</f>
        <v>250</v>
      </c>
      <c r="J362" s="270">
        <f ca="1">IFERROR(__xludf.DUMMYFUNCTION("IMPORTRANGE(""https://docs.google.com/spreadsheets/d/1XWAQStnk-4SwqDmLtmXYiTMKHgktTP8We1SCoS47DrQ/edit?usp=sharing"",""จัดที่ดิน!AA17"")"),62)</f>
        <v>62</v>
      </c>
      <c r="K362" s="466">
        <f t="shared" ca="1" si="162"/>
        <v>24.8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IFERROR(__xludf.DUMMYFUNCTION("IMPORTRANGE(""https://docs.google.com/spreadsheets/d/1XWAQStnk-4SwqDmLtmXYiTMKHgktTP8We1SCoS47DrQ/edit?usp=sharing"",""จัดที่ดิน!AB17"")"),500.87)</f>
        <v>500.87</v>
      </c>
      <c r="K363" s="466">
        <f t="shared" si="162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3">I365+I374</f>
        <v>370</v>
      </c>
      <c r="J364" s="447">
        <f t="shared" ca="1" si="163"/>
        <v>196</v>
      </c>
      <c r="K364" s="448">
        <f t="shared" ca="1" si="162"/>
        <v>52.972972972972975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IFERROR(__xludf.DUMMYFUNCTION("IMPORTRANGE(""https://docs.google.com/spreadsheets/d/1QqKyyYR6Q21VydFLVH3TRQUabQu_ym0Zz7PgGX0-kHA/edit?usp=sharing"",""แผน!EJ17"")"),100)</f>
        <v>100</v>
      </c>
      <c r="J365" s="459">
        <f ca="1">J372</f>
        <v>9</v>
      </c>
      <c r="K365" s="460">
        <f t="shared" ca="1" si="162"/>
        <v>9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 hidden="1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IFERROR(__xludf.DUMMYFUNCTION("IMPORTRANGE(""https://docs.google.com/spreadsheets/d/1XWAQStnk-4SwqDmLtmXYiTMKHgktTP8We1SCoS47DrQ/edit?usp=sharing"",""จัดที่ดิน!E17"")"),40)</f>
        <v>40</v>
      </c>
      <c r="K368" s="466">
        <f t="shared" ref="K368:K374" si="164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IFERROR(__xludf.DUMMYFUNCTION("IMPORTRANGE(""https://docs.google.com/spreadsheets/d/1QqKyyYR6Q21VydFLVH3TRQUabQu_ym0Zz7PgGX0-kHA/edit?usp=sharing"",""แผน!EI17"")"),1000)</f>
        <v>1000</v>
      </c>
      <c r="J369" s="270">
        <f ca="1">IFERROR(__xludf.DUMMYFUNCTION("IMPORTRANGE(""https://docs.google.com/spreadsheets/d/1XWAQStnk-4SwqDmLtmXYiTMKHgktTP8We1SCoS47DrQ/edit?usp=sharing"",""จัดที่ดิน!F17"")"),458.12)</f>
        <v>458.12</v>
      </c>
      <c r="K369" s="466">
        <f t="shared" ca="1" si="164"/>
        <v>45.811999999999998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IFERROR(__xludf.DUMMYFUNCTION("IMPORTRANGE(""https://docs.google.com/spreadsheets/d/1QqKyyYR6Q21VydFLVH3TRQUabQu_ym0Zz7PgGX0-kHA/edit?usp=sharing"",""แผน!EJ17"")"),100)</f>
        <v>100</v>
      </c>
      <c r="J370" s="270">
        <f ca="1">IFERROR(__xludf.DUMMYFUNCTION("IMPORTRANGE(""https://docs.google.com/spreadsheets/d/1XWAQStnk-4SwqDmLtmXYiTMKHgktTP8We1SCoS47DrQ/edit?usp=sharing"",""จัดที่ดิน!G17"")"),19)</f>
        <v>19</v>
      </c>
      <c r="K370" s="466">
        <f t="shared" ca="1" si="164"/>
        <v>19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IFERROR(__xludf.DUMMYFUNCTION("IMPORTRANGE(""https://docs.google.com/spreadsheets/d/1XWAQStnk-4SwqDmLtmXYiTMKHgktTP8We1SCoS47DrQ/edit?usp=sharing"",""จัดที่ดิน!H17"")"),286.86)</f>
        <v>286.86</v>
      </c>
      <c r="K371" s="466">
        <f t="shared" si="164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IFERROR(__xludf.DUMMYFUNCTION("IMPORTRANGE(""https://docs.google.com/spreadsheets/d/1QqKyyYR6Q21VydFLVH3TRQUabQu_ym0Zz7PgGX0-kHA/edit?usp=sharing"",""แผน!EJ17"")"),100)</f>
        <v>100</v>
      </c>
      <c r="J372" s="270">
        <f ca="1">IFERROR(__xludf.DUMMYFUNCTION("IMPORTRANGE(""https://docs.google.com/spreadsheets/d/1XWAQStnk-4SwqDmLtmXYiTMKHgktTP8We1SCoS47DrQ/edit?usp=sharing"",""จัดที่ดิน!I17"")"),9)</f>
        <v>9</v>
      </c>
      <c r="K372" s="466">
        <f t="shared" ca="1" si="164"/>
        <v>9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IFERROR(__xludf.DUMMYFUNCTION("IMPORTRANGE(""https://docs.google.com/spreadsheets/d/1XWAQStnk-4SwqDmLtmXYiTMKHgktTP8We1SCoS47DrQ/edit?usp=sharing"",""จัดที่ดิน!J17"")"),103.55)</f>
        <v>103.55</v>
      </c>
      <c r="K373" s="466">
        <f t="shared" si="164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IFERROR(__xludf.DUMMYFUNCTION("IMPORTRANGE(""https://docs.google.com/spreadsheets/d/1QqKyyYR6Q21VydFLVH3TRQUabQu_ym0Zz7PgGX0-kHA/edit?usp=sharing"",""แผน!EU17"")"),270)</f>
        <v>270</v>
      </c>
      <c r="J374" s="459">
        <f ca="1">J381</f>
        <v>187</v>
      </c>
      <c r="K374" s="460">
        <f t="shared" ca="1" si="164"/>
        <v>69.259259259259252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 hidden="1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IFERROR(__xludf.DUMMYFUNCTION("IMPORTRANGE(""https://docs.google.com/spreadsheets/d/1XWAQStnk-4SwqDmLtmXYiTMKHgktTP8We1SCoS47DrQ/edit?usp=sharing"",""จัดที่ดิน!AH17"")"),53)</f>
        <v>53</v>
      </c>
      <c r="K377" s="466">
        <f t="shared" ref="K377:K382" si="165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IFERROR(__xludf.DUMMYFUNCTION("IMPORTRANGE(""https://docs.google.com/spreadsheets/d/1QqKyyYR6Q21VydFLVH3TRQUabQu_ym0Zz7PgGX0-kHA/edit?usp=sharing"",""แผน!ET17"")"),1500)</f>
        <v>1500</v>
      </c>
      <c r="J378" s="270">
        <f ca="1">IFERROR(__xludf.DUMMYFUNCTION("IMPORTRANGE(""https://docs.google.com/spreadsheets/d/1XWAQStnk-4SwqDmLtmXYiTMKHgktTP8We1SCoS47DrQ/edit?usp=sharing"",""จัดที่ดิน!AI17"")"),397.32)</f>
        <v>397.32</v>
      </c>
      <c r="K378" s="466">
        <f t="shared" ca="1" si="165"/>
        <v>26.488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IFERROR(__xludf.DUMMYFUNCTION("IMPORTRANGE(""https://docs.google.com/spreadsheets/d/1QqKyyYR6Q21VydFLVH3TRQUabQu_ym0Zz7PgGX0-kHA/edit?usp=sharing"",""แผน!EU17"")"),270)</f>
        <v>270</v>
      </c>
      <c r="J379" s="270">
        <f ca="1">IFERROR(__xludf.DUMMYFUNCTION("IMPORTRANGE(""https://docs.google.com/spreadsheets/d/1XWAQStnk-4SwqDmLtmXYiTMKHgktTP8We1SCoS47DrQ/edit?usp=sharing"",""จัดที่ดิน!AJ17"")"),187)</f>
        <v>187</v>
      </c>
      <c r="K379" s="466">
        <f t="shared" ca="1" si="165"/>
        <v>69.259259259259252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IFERROR(__xludf.DUMMYFUNCTION("IMPORTRANGE(""https://docs.google.com/spreadsheets/d/1XWAQStnk-4SwqDmLtmXYiTMKHgktTP8We1SCoS47DrQ/edit?usp=sharing"",""จัดที่ดิน!AK17"")"),2747.58)</f>
        <v>2747.58</v>
      </c>
      <c r="K380" s="466">
        <f t="shared" si="165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IFERROR(__xludf.DUMMYFUNCTION("IMPORTRANGE(""https://docs.google.com/spreadsheets/d/1QqKyyYR6Q21VydFLVH3TRQUabQu_ym0Zz7PgGX0-kHA/edit?usp=sharing"",""แผน!EU17"")"),270)</f>
        <v>270</v>
      </c>
      <c r="J381" s="270">
        <f ca="1">IFERROR(__xludf.DUMMYFUNCTION("IMPORTRANGE(""https://docs.google.com/spreadsheets/d/1XWAQStnk-4SwqDmLtmXYiTMKHgktTP8We1SCoS47DrQ/edit?usp=sharing"",""จัดที่ดิน!AL17"")"),187)</f>
        <v>187</v>
      </c>
      <c r="K381" s="466">
        <f t="shared" ca="1" si="165"/>
        <v>69.259259259259252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IFERROR(__xludf.DUMMYFUNCTION("IMPORTRANGE(""https://docs.google.com/spreadsheets/d/1XWAQStnk-4SwqDmLtmXYiTMKHgktTP8We1SCoS47DrQ/edit?usp=sharing"",""จัดที่ดิน!AM17"")"),2747.58)</f>
        <v>2747.58</v>
      </c>
      <c r="K382" s="466">
        <f t="shared" si="165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IFERROR(__xludf.DUMMYFUNCTION("IMPORTRANGE(""https://docs.google.com/spreadsheets/d/1QqKyyYR6Q21VydFLVH3TRQUabQu_ym0Zz7PgGX0-kHA/edit?usp=sharing"",""แผน!EW17"")"),50)</f>
        <v>50</v>
      </c>
      <c r="J385" s="469">
        <f ca="1">IFERROR(__xludf.DUMMYFUNCTION("IMPORTRANGE(""https://docs.google.com/spreadsheets/d/1XWAQStnk-4SwqDmLtmXYiTMKHgktTP8We1SCoS47DrQ/edit?usp=sharing"",""จัดที่ดิน!AP17"")"),0)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6">I400</f>
        <v>0</v>
      </c>
      <c r="J388" s="490">
        <f t="shared" si="166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4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7">L390+L391</f>
        <v>0</v>
      </c>
      <c r="M389" s="155">
        <f t="shared" ca="1" si="167"/>
        <v>0</v>
      </c>
      <c r="N389" s="155">
        <f t="shared" ca="1" si="167"/>
        <v>0</v>
      </c>
      <c r="O389" s="155">
        <f t="shared" ref="O389:O397" ca="1" si="168">IF(L389&gt;0,N389*100/L389,0)</f>
        <v>0</v>
      </c>
      <c r="P389" s="155">
        <f t="shared" ref="P389:P397" ca="1" si="169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70">L393+L396</f>
        <v>0</v>
      </c>
      <c r="M390" s="93">
        <f t="shared" si="170"/>
        <v>0</v>
      </c>
      <c r="N390" s="93">
        <f t="shared" si="170"/>
        <v>0</v>
      </c>
      <c r="O390" s="93">
        <f t="shared" si="168"/>
        <v>0</v>
      </c>
      <c r="P390" s="93">
        <f t="shared" si="169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70"/>
        <v>0</v>
      </c>
      <c r="M391" s="93">
        <f t="shared" ca="1" si="170"/>
        <v>0</v>
      </c>
      <c r="N391" s="93">
        <f t="shared" ca="1" si="170"/>
        <v>0</v>
      </c>
      <c r="O391" s="93">
        <f t="shared" ca="1" si="168"/>
        <v>0</v>
      </c>
      <c r="P391" s="93">
        <f t="shared" ca="1" si="169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1">L393+L394</f>
        <v>0</v>
      </c>
      <c r="M392" s="466">
        <f t="shared" ca="1" si="171"/>
        <v>0</v>
      </c>
      <c r="N392" s="466">
        <f t="shared" ca="1" si="171"/>
        <v>0</v>
      </c>
      <c r="O392" s="466">
        <f t="shared" ca="1" si="168"/>
        <v>0</v>
      </c>
      <c r="P392" s="466">
        <f t="shared" ca="1" si="169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8"/>
        <v>0</v>
      </c>
      <c r="P393" s="93">
        <f t="shared" si="169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IFERROR(__xludf.DUMMYFUNCTION("IMPORTRANGE(""https://docs.google.com/spreadsheets/d/1MeEWN-I1oV_STSDYn1IFDPWt_1FKiwhDph83XaGc0o0/edit?usp=sharing"",""งบพรบ!FG17"")"),0)</f>
        <v>0</v>
      </c>
      <c r="M394" s="93">
        <f ca="1">IFERROR(__xludf.DUMMYFUNCTION("IMPORTRANGE(""https://docs.google.com/spreadsheets/d/1MeEWN-I1oV_STSDYn1IFDPWt_1FKiwhDph83XaGc0o0/edit?usp=sharing"",""งบพรบ!FL17"")"),0)</f>
        <v>0</v>
      </c>
      <c r="N394" s="93">
        <f ca="1">IFERROR(__xludf.DUMMYFUNCTION("IMPORTRANGE(""https://docs.google.com/spreadsheets/d/1MeEWN-I1oV_STSDYn1IFDPWt_1FKiwhDph83XaGc0o0/edit?usp=sharing"",""งบพรบ!FN17"")"),0)</f>
        <v>0</v>
      </c>
      <c r="O394" s="93">
        <f t="shared" ca="1" si="168"/>
        <v>0</v>
      </c>
      <c r="P394" s="93">
        <f t="shared" ca="1" si="169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2">L396+L397</f>
        <v>0</v>
      </c>
      <c r="M395" s="466">
        <f t="shared" ca="1" si="172"/>
        <v>0</v>
      </c>
      <c r="N395" s="466">
        <f t="shared" ca="1" si="172"/>
        <v>0</v>
      </c>
      <c r="O395" s="466">
        <f t="shared" ca="1" si="168"/>
        <v>0</v>
      </c>
      <c r="P395" s="466">
        <f t="shared" ca="1" si="169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8"/>
        <v>0</v>
      </c>
      <c r="P396" s="93">
        <f t="shared" si="169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IFERROR(__xludf.DUMMYFUNCTION("IMPORTRANGE(""https://docs.google.com/spreadsheets/d/1MeEWN-I1oV_STSDYn1IFDPWt_1FKiwhDph83XaGc0o0/edit?usp=sharing"",""งบพรบ!FJ17"")"),0)</f>
        <v>0</v>
      </c>
      <c r="M397" s="93">
        <f ca="1">IFERROR(__xludf.DUMMYFUNCTION("IMPORTRANGE(""https://docs.google.com/spreadsheets/d/1MeEWN-I1oV_STSDYn1IFDPWt_1FKiwhDph83XaGc0o0/edit?usp=sharing"",""งบพรบ!FM17"")"),0)</f>
        <v>0</v>
      </c>
      <c r="N397" s="93">
        <f ca="1">IFERROR(__xludf.DUMMYFUNCTION("IMPORTRANGE(""https://docs.google.com/spreadsheets/d/1MeEWN-I1oV_STSDYn1IFDPWt_1FKiwhDph83XaGc0o0/edit?usp=sharing"",""งบพรบ!FO17"")"),0)</f>
        <v>0</v>
      </c>
      <c r="O397" s="93">
        <f t="shared" ca="1" si="168"/>
        <v>0</v>
      </c>
      <c r="P397" s="93">
        <f t="shared" ca="1" si="169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3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3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4">I412</f>
        <v>0</v>
      </c>
      <c r="J401" s="490">
        <f t="shared" si="174"/>
        <v>0</v>
      </c>
      <c r="K401" s="491">
        <f t="shared" si="173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4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5">L403+L404</f>
        <v>0</v>
      </c>
      <c r="M402" s="155">
        <f t="shared" ca="1" si="175"/>
        <v>0</v>
      </c>
      <c r="N402" s="155">
        <f t="shared" ca="1" si="175"/>
        <v>0</v>
      </c>
      <c r="O402" s="155">
        <f t="shared" ref="O402:O410" ca="1" si="176">IF(L402&gt;0,N402*100/L402,0)</f>
        <v>0</v>
      </c>
      <c r="P402" s="155">
        <f t="shared" ref="P402:P410" ca="1" si="17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8">L406+L409</f>
        <v>0</v>
      </c>
      <c r="M403" s="93">
        <f t="shared" si="178"/>
        <v>0</v>
      </c>
      <c r="N403" s="93">
        <f t="shared" si="178"/>
        <v>0</v>
      </c>
      <c r="O403" s="93">
        <f t="shared" si="176"/>
        <v>0</v>
      </c>
      <c r="P403" s="93">
        <f t="shared" si="17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8"/>
        <v>0</v>
      </c>
      <c r="M404" s="93">
        <f t="shared" ca="1" si="178"/>
        <v>0</v>
      </c>
      <c r="N404" s="93">
        <f t="shared" ca="1" si="178"/>
        <v>0</v>
      </c>
      <c r="O404" s="93">
        <f t="shared" ca="1" si="176"/>
        <v>0</v>
      </c>
      <c r="P404" s="93">
        <f t="shared" ca="1" si="17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9">L406+L407</f>
        <v>0</v>
      </c>
      <c r="M405" s="466">
        <f t="shared" ca="1" si="179"/>
        <v>0</v>
      </c>
      <c r="N405" s="466">
        <f t="shared" ca="1" si="179"/>
        <v>0</v>
      </c>
      <c r="O405" s="466">
        <f t="shared" ca="1" si="176"/>
        <v>0</v>
      </c>
      <c r="P405" s="466">
        <f t="shared" ca="1" si="17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6"/>
        <v>0</v>
      </c>
      <c r="P406" s="93">
        <f t="shared" si="17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IFERROR(__xludf.DUMMYFUNCTION("IMPORTRANGE(""https://docs.google.com/spreadsheets/d/1MeEWN-I1oV_STSDYn1IFDPWt_1FKiwhDph83XaGc0o0/edit?usp=sharing"",""งบพรบ!FQ17"")"),0)</f>
        <v>0</v>
      </c>
      <c r="M407" s="93">
        <f ca="1">IFERROR(__xludf.DUMMYFUNCTION("IMPORTRANGE(""https://docs.google.com/spreadsheets/d/1MeEWN-I1oV_STSDYn1IFDPWt_1FKiwhDph83XaGc0o0/edit?usp=sharing"",""งบพรบ!FV17"")"),0)</f>
        <v>0</v>
      </c>
      <c r="N407" s="93">
        <f ca="1">IFERROR(__xludf.DUMMYFUNCTION("IMPORTRANGE(""https://docs.google.com/spreadsheets/d/1MeEWN-I1oV_STSDYn1IFDPWt_1FKiwhDph83XaGc0o0/edit?usp=sharing"",""งบพรบ!FX17"")"),0)</f>
        <v>0</v>
      </c>
      <c r="O407" s="93">
        <f t="shared" ca="1" si="176"/>
        <v>0</v>
      </c>
      <c r="P407" s="93">
        <f t="shared" ca="1" si="17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80">L409+L410</f>
        <v>0</v>
      </c>
      <c r="M408" s="466">
        <f t="shared" ca="1" si="180"/>
        <v>0</v>
      </c>
      <c r="N408" s="466">
        <f t="shared" ca="1" si="180"/>
        <v>0</v>
      </c>
      <c r="O408" s="466">
        <f t="shared" ca="1" si="176"/>
        <v>0</v>
      </c>
      <c r="P408" s="466">
        <f t="shared" ca="1" si="17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6"/>
        <v>0</v>
      </c>
      <c r="P409" s="93">
        <f t="shared" si="17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IFERROR(__xludf.DUMMYFUNCTION("IMPORTRANGE(""https://docs.google.com/spreadsheets/d/1MeEWN-I1oV_STSDYn1IFDPWt_1FKiwhDph83XaGc0o0/edit?usp=sharing"",""งบพรบ!FT17"")"),0)</f>
        <v>0</v>
      </c>
      <c r="M410" s="93">
        <f ca="1">IFERROR(__xludf.DUMMYFUNCTION("IMPORTRANGE(""https://docs.google.com/spreadsheets/d/1MeEWN-I1oV_STSDYn1IFDPWt_1FKiwhDph83XaGc0o0/edit?usp=sharing"",""งบพรบ!FW17"")"),0)</f>
        <v>0</v>
      </c>
      <c r="N410" s="93">
        <f ca="1">IFERROR(__xludf.DUMMYFUNCTION("IMPORTRANGE(""https://docs.google.com/spreadsheets/d/1MeEWN-I1oV_STSDYn1IFDPWt_1FKiwhDph83XaGc0o0/edit?usp=sharing"",""งบพรบ!FY17"")"),0)</f>
        <v>0</v>
      </c>
      <c r="O410" s="93">
        <f t="shared" ca="1" si="176"/>
        <v>0</v>
      </c>
      <c r="P410" s="93">
        <f t="shared" ca="1" si="17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1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1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2">L419+L444+L467+L502+L523+L544+L629+L655+L685+L737+L754+L770+L786+L805</f>
        <v>1291838</v>
      </c>
      <c r="M414" s="517">
        <f t="shared" si="182"/>
        <v>0</v>
      </c>
      <c r="N414" s="517">
        <f t="shared" si="182"/>
        <v>334670.2</v>
      </c>
      <c r="O414" s="517">
        <f ca="1">IF(L414&gt;0,N414*100/L414,0)</f>
        <v>25.906514593935153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3">I433</f>
        <v>15</v>
      </c>
      <c r="J417" s="533">
        <f t="shared" ca="1" si="183"/>
        <v>15</v>
      </c>
      <c r="K417" s="534">
        <f t="shared" ref="K417:K418" ca="1" si="184">IF(I417&gt;0,J417*100/I417,0)</f>
        <v>100</v>
      </c>
      <c r="L417" s="534"/>
      <c r="M417" s="534"/>
      <c r="N417" s="534"/>
      <c r="O417" s="534"/>
      <c r="P417" s="534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3"/>
        <v>1</v>
      </c>
      <c r="J418" s="533">
        <f t="shared" si="183"/>
        <v>1</v>
      </c>
      <c r="K418" s="534">
        <f t="shared" ca="1" si="184"/>
        <v>100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5">L420+L421</f>
        <v>66760</v>
      </c>
      <c r="M419" s="155">
        <f t="shared" si="185"/>
        <v>0</v>
      </c>
      <c r="N419" s="155">
        <f t="shared" si="185"/>
        <v>50300</v>
      </c>
      <c r="O419" s="155">
        <f t="shared" ref="O419:O424" ca="1" si="186">IF(L419&gt;0,N419*100/L419,0)</f>
        <v>75.34451767525465</v>
      </c>
      <c r="P419" s="155">
        <f t="shared" ref="P419:P424" si="187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8">L423+L430</f>
        <v>0</v>
      </c>
      <c r="M420" s="93">
        <f t="shared" si="188"/>
        <v>0</v>
      </c>
      <c r="N420" s="93">
        <f t="shared" si="188"/>
        <v>0</v>
      </c>
      <c r="O420" s="93">
        <f t="shared" si="186"/>
        <v>0</v>
      </c>
      <c r="P420" s="93">
        <f t="shared" si="18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8"/>
        <v>66760</v>
      </c>
      <c r="M421" s="93">
        <f t="shared" si="188"/>
        <v>0</v>
      </c>
      <c r="N421" s="93">
        <f t="shared" si="188"/>
        <v>50300</v>
      </c>
      <c r="O421" s="93">
        <f t="shared" ca="1" si="186"/>
        <v>75.34451767525465</v>
      </c>
      <c r="P421" s="93">
        <f t="shared" si="187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9">L423+L424</f>
        <v>66760</v>
      </c>
      <c r="M422" s="466">
        <f t="shared" si="189"/>
        <v>0</v>
      </c>
      <c r="N422" s="466">
        <f t="shared" si="189"/>
        <v>50300</v>
      </c>
      <c r="O422" s="466">
        <f t="shared" ca="1" si="186"/>
        <v>75.34451767525465</v>
      </c>
      <c r="P422" s="466">
        <f t="shared" si="187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6"/>
        <v>0</v>
      </c>
      <c r="P423" s="93">
        <f t="shared" si="18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IFERROR(__xludf.DUMMYFUNCTION("IMPORTRANGE(""https://docs.google.com/spreadsheets/d/1QqKyyYR6Q21VydFLVH3TRQUabQu_ym0Zz7PgGX0-kHA/edit?usp=sharing"",""แผน!EY17"")"),66760)</f>
        <v>66760</v>
      </c>
      <c r="M424" s="93">
        <v>0</v>
      </c>
      <c r="N424" s="93">
        <f>N425+N426+N427+N428</f>
        <v>50300</v>
      </c>
      <c r="O424" s="93">
        <f t="shared" ca="1" si="186"/>
        <v>75.34451767525465</v>
      </c>
      <c r="P424" s="93">
        <f t="shared" si="187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v>36500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v>13800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90">L430+L431</f>
        <v>0</v>
      </c>
      <c r="M429" s="466">
        <f t="shared" si="190"/>
        <v>0</v>
      </c>
      <c r="N429" s="466">
        <f t="shared" si="190"/>
        <v>0</v>
      </c>
      <c r="O429" s="466">
        <f t="shared" ref="O429:O431" ca="1" si="191">IF(L429&gt;0,N429*100/L429,0)</f>
        <v>0</v>
      </c>
      <c r="P429" s="466">
        <f t="shared" ref="P429:P431" si="19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1"/>
        <v>0</v>
      </c>
      <c r="P430" s="93">
        <f t="shared" si="19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IFERROR(__xludf.DUMMYFUNCTION("IMPORTRANGE(""https://docs.google.com/spreadsheets/d/1QqKyyYR6Q21VydFLVH3TRQUabQu_ym0Zz7PgGX0-kHA/edit?usp=sharing"",""แผน!FB17"")"),0)</f>
        <v>0</v>
      </c>
      <c r="M431" s="93">
        <v>0</v>
      </c>
      <c r="N431" s="93">
        <v>0</v>
      </c>
      <c r="O431" s="93">
        <f t="shared" ca="1" si="191"/>
        <v>0</v>
      </c>
      <c r="P431" s="93">
        <f t="shared" si="19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15</v>
      </c>
      <c r="J433" s="648">
        <f ca="1">IF(AND(J435=I435,J437=I437,J439=I439),I437+I439,IF(AND(J435=I437,J437=I437),I437,IF(AND(J435=I439,J439=I439),I439,0)))</f>
        <v>15</v>
      </c>
      <c r="K433" s="195">
        <f t="shared" ref="K433:K435" ca="1" si="193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t="shared" ref="I434:J434" ca="1" si="194">I438+I440</f>
        <v>1</v>
      </c>
      <c r="J434" s="648">
        <f t="shared" si="194"/>
        <v>1</v>
      </c>
      <c r="K434" s="195">
        <f t="shared" ca="1" si="193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IFERROR(__xludf.DUMMYFUNCTION("IMPORTRANGE(""https://docs.google.com/spreadsheets/d/1QqKyyYR6Q21VydFLVH3TRQUabQu_ym0Zz7PgGX0-kHA/edit?usp=sharing"",""แผน!FC17"")"),15)</f>
        <v>15</v>
      </c>
      <c r="J435" s="549">
        <v>15</v>
      </c>
      <c r="K435" s="466">
        <f t="shared" ca="1" si="193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IFERROR(__xludf.DUMMYFUNCTION("IMPORTRANGE(""https://docs.google.com/spreadsheets/d/1QqKyyYR6Q21VydFLVH3TRQUabQu_ym0Zz7PgGX0-kHA/edit?usp=sharing"",""แผน!FD17"")"),0)</f>
        <v>0</v>
      </c>
      <c r="J437" s="549">
        <v>0</v>
      </c>
      <c r="K437" s="466">
        <f t="shared" ref="K437:K443" ca="1" si="195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IFERROR(__xludf.DUMMYFUNCTION("IMPORTRANGE(""https://docs.google.com/spreadsheets/d/1QqKyyYR6Q21VydFLVH3TRQUabQu_ym0Zz7PgGX0-kHA/edit?usp=sharing"",""แผน!FE17"")"),0)</f>
        <v>0</v>
      </c>
      <c r="J438" s="215">
        <v>0</v>
      </c>
      <c r="K438" s="466">
        <f t="shared" ca="1" si="195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IFERROR(__xludf.DUMMYFUNCTION("IMPORTRANGE(""https://docs.google.com/spreadsheets/d/1QqKyyYR6Q21VydFLVH3TRQUabQu_ym0Zz7PgGX0-kHA/edit?usp=sharing"",""แผน!FF17"")"),15)</f>
        <v>15</v>
      </c>
      <c r="J439" s="549">
        <v>15</v>
      </c>
      <c r="K439" s="466">
        <f t="shared" ca="1" si="195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IFERROR(__xludf.DUMMYFUNCTION("IMPORTRANGE(""https://docs.google.com/spreadsheets/d/1QqKyyYR6Q21VydFLVH3TRQUabQu_ym0Zz7PgGX0-kHA/edit?usp=sharing"",""แผน!FG17"")"),1)</f>
        <v>1</v>
      </c>
      <c r="J440" s="215">
        <v>1</v>
      </c>
      <c r="K440" s="466">
        <f t="shared" ca="1" si="195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IFERROR(__xludf.DUMMYFUNCTION("IMPORTRANGE(""https://docs.google.com/spreadsheets/d/1QqKyyYR6Q21VydFLVH3TRQUabQu_ym0Zz7PgGX0-kHA/edit?usp=sharing"",""แผน!FH17"")"),0)</f>
        <v>0</v>
      </c>
      <c r="J441" s="270">
        <v>0</v>
      </c>
      <c r="K441" s="466">
        <f t="shared" ca="1" si="195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6">I460</f>
        <v>0</v>
      </c>
      <c r="J442" s="555">
        <f t="shared" si="196"/>
        <v>0</v>
      </c>
      <c r="K442" s="556">
        <f t="shared" ca="1" si="195"/>
        <v>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 hidden="1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7">I462</f>
        <v>0</v>
      </c>
      <c r="J443" s="533">
        <f t="shared" si="197"/>
        <v>0</v>
      </c>
      <c r="K443" s="534">
        <f t="shared" ca="1" si="195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 hidden="1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8">L445+L446</f>
        <v>0</v>
      </c>
      <c r="M444" s="195">
        <f t="shared" si="198"/>
        <v>0</v>
      </c>
      <c r="N444" s="195">
        <f t="shared" si="198"/>
        <v>0</v>
      </c>
      <c r="O444" s="195">
        <f t="shared" ref="O444:O449" ca="1" si="199">IF(L444&gt;0,N444*100/L444,0)</f>
        <v>0</v>
      </c>
      <c r="P444" s="195">
        <f t="shared" ref="P444:P449" si="200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1">L448+L455</f>
        <v>0</v>
      </c>
      <c r="M445" s="93">
        <f t="shared" si="201"/>
        <v>0</v>
      </c>
      <c r="N445" s="93">
        <f t="shared" si="201"/>
        <v>0</v>
      </c>
      <c r="O445" s="93">
        <f t="shared" si="199"/>
        <v>0</v>
      </c>
      <c r="P445" s="93">
        <f t="shared" si="200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1"/>
        <v>0</v>
      </c>
      <c r="M446" s="93">
        <f t="shared" si="201"/>
        <v>0</v>
      </c>
      <c r="N446" s="93">
        <f t="shared" si="201"/>
        <v>0</v>
      </c>
      <c r="O446" s="93">
        <f t="shared" ca="1" si="199"/>
        <v>0</v>
      </c>
      <c r="P446" s="93">
        <f t="shared" si="200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 hidden="1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2">L448+L449</f>
        <v>0</v>
      </c>
      <c r="M447" s="466">
        <f t="shared" si="202"/>
        <v>0</v>
      </c>
      <c r="N447" s="466">
        <f t="shared" si="202"/>
        <v>0</v>
      </c>
      <c r="O447" s="466">
        <f t="shared" ca="1" si="199"/>
        <v>0</v>
      </c>
      <c r="P447" s="466">
        <f t="shared" si="200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9"/>
        <v>0</v>
      </c>
      <c r="P448" s="93">
        <f t="shared" si="200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IFERROR(__xludf.DUMMYFUNCTION("IMPORTRANGE(""https://docs.google.com/spreadsheets/d/1QqKyyYR6Q21VydFLVH3TRQUabQu_ym0Zz7PgGX0-kHA/edit?usp=sharing"",""แผน!FJ17"")"),0)</f>
        <v>0</v>
      </c>
      <c r="M449" s="93">
        <v>0</v>
      </c>
      <c r="N449" s="93">
        <f>N450+N451+N452+N453</f>
        <v>0</v>
      </c>
      <c r="O449" s="93">
        <f t="shared" ca="1" si="199"/>
        <v>0</v>
      </c>
      <c r="P449" s="93">
        <f t="shared" si="200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 hidden="1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v>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 hidden="1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 hidden="1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v>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 hidden="1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v>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 hidden="1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3">L455+L456</f>
        <v>0</v>
      </c>
      <c r="M454" s="466">
        <f t="shared" si="203"/>
        <v>0</v>
      </c>
      <c r="N454" s="466">
        <f t="shared" si="203"/>
        <v>0</v>
      </c>
      <c r="O454" s="466">
        <f t="shared" ref="O454:O456" ca="1" si="204">IF(L454&gt;0,N454*100/L454,0)</f>
        <v>0</v>
      </c>
      <c r="P454" s="466">
        <f t="shared" ref="P454:P456" si="205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4"/>
        <v>0</v>
      </c>
      <c r="P455" s="93">
        <f t="shared" si="205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IFERROR(__xludf.DUMMYFUNCTION("IMPORTRANGE(""https://docs.google.com/spreadsheets/d/1QqKyyYR6Q21VydFLVH3TRQUabQu_ym0Zz7PgGX0-kHA/edit?usp=sharing"",""แผน!FM17"")"),0)</f>
        <v>0</v>
      </c>
      <c r="M456" s="93">
        <v>0</v>
      </c>
      <c r="N456" s="93">
        <v>0</v>
      </c>
      <c r="O456" s="93">
        <f t="shared" ca="1" si="204"/>
        <v>0</v>
      </c>
      <c r="P456" s="93">
        <f t="shared" si="205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 hidden="1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 hidden="1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IFERROR(__xludf.DUMMYFUNCTION("IMPORTRANGE(""https://docs.google.com/spreadsheets/d/1QqKyyYR6Q21VydFLVH3TRQUabQu_ym0Zz7PgGX0-kHA/edit?usp=sharing"",""แผน!FN17"")"),0)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 hidden="1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 hidden="1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IFERROR(__xludf.DUMMYFUNCTION("IMPORTRANGE(""https://docs.google.com/spreadsheets/d/1QqKyyYR6Q21VydFLVH3TRQUabQu_ym0Zz7PgGX0-kHA/edit?usp=sharing"",""แผน!FO17"")"),0)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 hidden="1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IFERROR(__xludf.DUMMYFUNCTION("IMPORTRANGE(""https://docs.google.com/spreadsheets/d/1QqKyyYR6Q21VydFLVH3TRQUabQu_ym0Zz7PgGX0-kHA/edit?usp=sharing"",""แผน!FO17"")"),0)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 hidden="1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IFERROR(__xludf.DUMMYFUNCTION("IMPORTRANGE(""https://docs.google.com/spreadsheets/d/1QqKyyYR6Q21VydFLVH3TRQUabQu_ym0Zz7PgGX0-kHA/edit?usp=sharing"",""แผน!FN17"")"),0)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IFERROR(__xludf.DUMMYFUNCTION("IMPORTRANGE(""https://docs.google.com/spreadsheets/d/1QqKyyYR6Q21VydFLVH3TRQUabQu_ym0Zz7PgGX0-kHA/edit?usp=sharing"",""แผน!FX17"")"),51)</f>
        <v>51</v>
      </c>
      <c r="J465" s="555">
        <f>J485+J489+J492</f>
        <v>0</v>
      </c>
      <c r="K465" s="556">
        <f t="shared" ref="K465:K466" ca="1" si="206">IF(I465&gt;0,J465*100/I465,0)</f>
        <v>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IFERROR(__xludf.DUMMYFUNCTION("IMPORTRANGE(""https://docs.google.com/spreadsheets/d/1QqKyyYR6Q21VydFLVH3TRQUabQu_ym0Zz7PgGX0-kHA/edit?usp=sharing"",""แผน!FW17"")"),500)</f>
        <v>500</v>
      </c>
      <c r="J466" s="533">
        <f>J495+J498</f>
        <v>0</v>
      </c>
      <c r="K466" s="534">
        <f t="shared" ca="1" si="206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7">L468+L469</f>
        <v>410813</v>
      </c>
      <c r="M467" s="195">
        <f t="shared" si="207"/>
        <v>0</v>
      </c>
      <c r="N467" s="195">
        <f t="shared" si="207"/>
        <v>29665</v>
      </c>
      <c r="O467" s="195">
        <f t="shared" ref="O467:O472" ca="1" si="208">IF(L467&gt;0,N467*100/L467,0)</f>
        <v>7.221047045736138</v>
      </c>
      <c r="P467" s="195">
        <f t="shared" ref="P467:P472" si="209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10">L471+L478</f>
        <v>0</v>
      </c>
      <c r="M468" s="93">
        <f t="shared" si="210"/>
        <v>0</v>
      </c>
      <c r="N468" s="93">
        <f t="shared" si="210"/>
        <v>0</v>
      </c>
      <c r="O468" s="93">
        <f t="shared" si="208"/>
        <v>0</v>
      </c>
      <c r="P468" s="93">
        <f t="shared" si="209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10"/>
        <v>410813</v>
      </c>
      <c r="M469" s="93">
        <f t="shared" si="210"/>
        <v>0</v>
      </c>
      <c r="N469" s="93">
        <f t="shared" si="210"/>
        <v>29665</v>
      </c>
      <c r="O469" s="93">
        <f t="shared" ca="1" si="208"/>
        <v>7.221047045736138</v>
      </c>
      <c r="P469" s="93">
        <f t="shared" si="209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1">L471+L472</f>
        <v>410813</v>
      </c>
      <c r="M470" s="466">
        <f t="shared" si="211"/>
        <v>0</v>
      </c>
      <c r="N470" s="466">
        <f t="shared" si="211"/>
        <v>29665</v>
      </c>
      <c r="O470" s="466">
        <f t="shared" ca="1" si="208"/>
        <v>7.221047045736138</v>
      </c>
      <c r="P470" s="466">
        <f t="shared" si="209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8"/>
        <v>0</v>
      </c>
      <c r="P471" s="93">
        <f t="shared" si="209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IFERROR(__xludf.DUMMYFUNCTION("IMPORTRANGE(""https://docs.google.com/spreadsheets/d/1QqKyyYR6Q21VydFLVH3TRQUabQu_ym0Zz7PgGX0-kHA/edit?usp=sharing"",""แผน!FS17"")"),410813)</f>
        <v>410813</v>
      </c>
      <c r="M472" s="93">
        <v>0</v>
      </c>
      <c r="N472" s="93">
        <f>N473+N474+N475+N476</f>
        <v>29665</v>
      </c>
      <c r="O472" s="93">
        <f t="shared" ca="1" si="208"/>
        <v>7.221047045736138</v>
      </c>
      <c r="P472" s="93">
        <f t="shared" si="209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>
        <v>17750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v>11915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2">L478+L479</f>
        <v>0</v>
      </c>
      <c r="M477" s="466">
        <f t="shared" si="212"/>
        <v>0</v>
      </c>
      <c r="N477" s="466">
        <f t="shared" si="212"/>
        <v>0</v>
      </c>
      <c r="O477" s="466">
        <f t="shared" ref="O477:O479" ca="1" si="213">IF(L477&gt;0,N477*100/L477,0)</f>
        <v>0</v>
      </c>
      <c r="P477" s="466">
        <f t="shared" ref="P477:P479" si="214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3"/>
        <v>0</v>
      </c>
      <c r="P478" s="93">
        <f t="shared" si="214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IFERROR(__xludf.DUMMYFUNCTION("IMPORTRANGE(""https://docs.google.com/spreadsheets/d/1QqKyyYR6Q21VydFLVH3TRQUabQu_ym0Zz7PgGX0-kHA/edit?usp=sharing"",""แผน!FV17"")"),0)</f>
        <v>0</v>
      </c>
      <c r="M479" s="93">
        <v>0</v>
      </c>
      <c r="N479" s="93">
        <v>0</v>
      </c>
      <c r="O479" s="93">
        <f t="shared" ca="1" si="213"/>
        <v>0</v>
      </c>
      <c r="P479" s="93">
        <f t="shared" si="214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IFERROR(__xludf.DUMMYFUNCTION("IMPORTRANGE(""https://docs.google.com/spreadsheets/d/1QqKyyYR6Q21VydFLVH3TRQUabQu_ym0Zz7PgGX0-kHA/edit?usp=sharing"",""แผน!FY17"")"),450)</f>
        <v>450</v>
      </c>
      <c r="J483" s="215">
        <v>0</v>
      </c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IFERROR(__xludf.DUMMYFUNCTION("IMPORTRANGE(""https://docs.google.com/spreadsheets/d/1QqKyyYR6Q21VydFLVH3TRQUabQu_ym0Zz7PgGX0-kHA/edit?usp=sharing"",""แผน!FZ17"")"),45)</f>
        <v>45</v>
      </c>
      <c r="J485" s="215">
        <v>0</v>
      </c>
      <c r="K485" s="466">
        <f ca="1">IF(I485&gt;0,J485*100/I485,0)</f>
        <v>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IFERROR(__xludf.DUMMYFUNCTION("IMPORTRANGE(""https://docs.google.com/spreadsheets/d/1QqKyyYR6Q21VydFLVH3TRQUabQu_ym0Zz7PgGX0-kHA/edit?usp=sharing"",""แผน!GA17"")"),50)</f>
        <v>50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IFERROR(__xludf.DUMMYFUNCTION("IMPORTRANGE(""https://docs.google.com/spreadsheets/d/1QqKyyYR6Q21VydFLVH3TRQUabQu_ym0Zz7PgGX0-kHA/edit?usp=sharing"",""แผน!GB17"")"),5)</f>
        <v>5</v>
      </c>
      <c r="J489" s="215">
        <v>0</v>
      </c>
      <c r="K489" s="466">
        <f ca="1">IF(I489&gt;0,J489*100/I489,0)</f>
        <v>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IFERROR(__xludf.DUMMYFUNCTION("IMPORTRANGE(""https://docs.google.com/spreadsheets/d/1QqKyyYR6Q21VydFLVH3TRQUabQu_ym0Zz7PgGX0-kHA/edit?usp=sharing"",""แผน!GC17"")"),1)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IFERROR(__xludf.DUMMYFUNCTION("IMPORTRANGE(""https://docs.google.com/spreadsheets/d/1QqKyyYR6Q21VydFLVH3TRQUabQu_ym0Zz7PgGX0-kHA/edit?usp=sharing"",""แผน!FY17"")"),450)</f>
        <v>450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IFERROR(__xludf.DUMMYFUNCTION("IMPORTRANGE(""https://docs.google.com/spreadsheets/d/1QqKyyYR6Q21VydFLVH3TRQUabQu_ym0Zz7PgGX0-kHA/edit?usp=sharing"",""แผน!GA17"")"),50)</f>
        <v>50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5">J516</f>
        <v>0</v>
      </c>
      <c r="K500" s="601">
        <f t="shared" ref="K500:K501" si="216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5"/>
        <v>0</v>
      </c>
      <c r="K501" s="610">
        <f t="shared" si="216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7">L503+L504</f>
        <v>0</v>
      </c>
      <c r="M502" s="614">
        <f t="shared" si="217"/>
        <v>0</v>
      </c>
      <c r="N502" s="614">
        <f t="shared" si="217"/>
        <v>0</v>
      </c>
      <c r="O502" s="614">
        <f t="shared" ref="O502:O507" si="218">IF(L502&gt;0,N502*100/L502,0)</f>
        <v>0</v>
      </c>
      <c r="P502" s="614">
        <f t="shared" ref="P502:P507" si="219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20">L506+L513</f>
        <v>0</v>
      </c>
      <c r="M503" s="93">
        <f t="shared" si="220"/>
        <v>0</v>
      </c>
      <c r="N503" s="93">
        <f t="shared" si="220"/>
        <v>0</v>
      </c>
      <c r="O503" s="93">
        <f t="shared" si="218"/>
        <v>0</v>
      </c>
      <c r="P503" s="93">
        <f t="shared" si="219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20"/>
        <v>0</v>
      </c>
      <c r="M504" s="93">
        <f t="shared" si="220"/>
        <v>0</v>
      </c>
      <c r="N504" s="93">
        <f t="shared" si="220"/>
        <v>0</v>
      </c>
      <c r="O504" s="93">
        <f t="shared" si="218"/>
        <v>0</v>
      </c>
      <c r="P504" s="93">
        <f t="shared" si="219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6"/>
      <c r="D505" s="853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1">L506+L507</f>
        <v>0</v>
      </c>
      <c r="M505" s="93">
        <f t="shared" si="221"/>
        <v>0</v>
      </c>
      <c r="N505" s="93">
        <f t="shared" si="221"/>
        <v>0</v>
      </c>
      <c r="O505" s="93">
        <f t="shared" si="218"/>
        <v>0</v>
      </c>
      <c r="P505" s="93">
        <f t="shared" si="219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8"/>
        <v>0</v>
      </c>
      <c r="P506" s="93">
        <f t="shared" si="219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8"/>
        <v>0</v>
      </c>
      <c r="P507" s="93">
        <f t="shared" si="219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853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2">L513+L514</f>
        <v>0</v>
      </c>
      <c r="M512" s="93">
        <f t="shared" si="222"/>
        <v>0</v>
      </c>
      <c r="N512" s="93">
        <f t="shared" si="222"/>
        <v>0</v>
      </c>
      <c r="O512" s="93">
        <f t="shared" ref="O512:O514" si="223">IF(L512&gt;0,N512*100/L512,0)</f>
        <v>0</v>
      </c>
      <c r="P512" s="93">
        <f t="shared" ref="P512:P514" si="224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3"/>
        <v>0</v>
      </c>
      <c r="P513" s="93">
        <f t="shared" si="224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3"/>
        <v>0</v>
      </c>
      <c r="P514" s="93">
        <f t="shared" si="224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5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5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 hidden="1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6">I537</f>
        <v>0</v>
      </c>
      <c r="J522" s="675">
        <f t="shared" ca="1" si="226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7">L524+L525</f>
        <v>0</v>
      </c>
      <c r="M523" s="195">
        <f t="shared" si="227"/>
        <v>0</v>
      </c>
      <c r="N523" s="195">
        <f t="shared" si="227"/>
        <v>0</v>
      </c>
      <c r="O523" s="195">
        <f t="shared" ref="O523:O528" ca="1" si="228">IF(L523&gt;0,N523*100/L523,0)</f>
        <v>0</v>
      </c>
      <c r="P523" s="195">
        <f t="shared" ref="P523:P528" si="229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30">L527+L534</f>
        <v>0</v>
      </c>
      <c r="M524" s="93">
        <f t="shared" si="230"/>
        <v>0</v>
      </c>
      <c r="N524" s="93">
        <f t="shared" si="230"/>
        <v>0</v>
      </c>
      <c r="O524" s="93">
        <f t="shared" si="228"/>
        <v>0</v>
      </c>
      <c r="P524" s="93">
        <f t="shared" si="229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30"/>
        <v>0</v>
      </c>
      <c r="M525" s="93">
        <f t="shared" si="230"/>
        <v>0</v>
      </c>
      <c r="N525" s="93">
        <f t="shared" si="230"/>
        <v>0</v>
      </c>
      <c r="O525" s="93">
        <f t="shared" ca="1" si="228"/>
        <v>0</v>
      </c>
      <c r="P525" s="93">
        <f t="shared" si="229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1">L527+L528</f>
        <v>0</v>
      </c>
      <c r="M526" s="466">
        <f t="shared" si="231"/>
        <v>0</v>
      </c>
      <c r="N526" s="466">
        <f t="shared" si="231"/>
        <v>0</v>
      </c>
      <c r="O526" s="466">
        <f t="shared" ca="1" si="228"/>
        <v>0</v>
      </c>
      <c r="P526" s="466">
        <f t="shared" si="229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8"/>
        <v>0</v>
      </c>
      <c r="P527" s="93">
        <f t="shared" si="229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IFERROR(__xludf.DUMMYFUNCTION("IMPORTRANGE(""https://docs.google.com/spreadsheets/d/1QqKyyYR6Q21VydFLVH3TRQUabQu_ym0Zz7PgGX0-kHA/edit?usp=sharing"",""แผน!GQ17"")"),0)</f>
        <v>0</v>
      </c>
      <c r="M528" s="93">
        <v>0</v>
      </c>
      <c r="N528" s="93">
        <f>N529+N530+N531+N532</f>
        <v>0</v>
      </c>
      <c r="O528" s="93">
        <f t="shared" ca="1" si="228"/>
        <v>0</v>
      </c>
      <c r="P528" s="93">
        <f t="shared" si="229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2">L534+L535</f>
        <v>0</v>
      </c>
      <c r="M533" s="466">
        <f t="shared" si="232"/>
        <v>0</v>
      </c>
      <c r="N533" s="466">
        <f t="shared" si="232"/>
        <v>0</v>
      </c>
      <c r="O533" s="466">
        <f t="shared" ref="O533:O535" ca="1" si="233">IF(L533&gt;0,N533*100/L533,0)</f>
        <v>0</v>
      </c>
      <c r="P533" s="466">
        <f t="shared" ref="P533:P535" si="234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3"/>
        <v>0</v>
      </c>
      <c r="P534" s="93">
        <f t="shared" si="234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IFERROR(__xludf.DUMMYFUNCTION("IMPORTRANGE(""https://docs.google.com/spreadsheets/d/1QqKyyYR6Q21VydFLVH3TRQUabQu_ym0Zz7PgGX0-kHA/edit?usp=sharing"",""แผน!GT17"")"),0)</f>
        <v>0</v>
      </c>
      <c r="M535" s="93">
        <v>0</v>
      </c>
      <c r="N535" s="93">
        <v>0</v>
      </c>
      <c r="O535" s="93">
        <f t="shared" ca="1" si="233"/>
        <v>0</v>
      </c>
      <c r="P535" s="93">
        <f t="shared" si="234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IFERROR(__xludf.DUMMYFUNCTION("IMPORTRANGE(""https://docs.google.com/spreadsheets/d/1QqKyyYR6Q21VydFLVH3TRQUabQu_ym0Zz7PgGX0-kHA/edit?usp=sharing"",""แผน!GU17"")"),0)</f>
        <v>0</v>
      </c>
      <c r="J537" s="648">
        <f ca="1">IF(AND(J538=I538,J539=I539,J540=I540,J541=I541),I537,0)</f>
        <v>0</v>
      </c>
      <c r="K537" s="466">
        <f t="shared" ref="K537:K543" ca="1" si="235">IF(I537&gt;0,J537*100/I537,0)</f>
        <v>0</v>
      </c>
      <c r="L537" s="466"/>
      <c r="M537" s="466"/>
      <c r="N537" s="466"/>
      <c r="O537" s="466"/>
      <c r="P537" s="466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 hidden="1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IFERROR(__xludf.DUMMYFUNCTION("IMPORTRANGE(""https://docs.google.com/spreadsheets/d/1QqKyyYR6Q21VydFLVH3TRQUabQu_ym0Zz7PgGX0-kHA/edit?usp=sharing"",""แผน!GV17"")"),0)</f>
        <v>0</v>
      </c>
      <c r="J538" s="215">
        <v>0</v>
      </c>
      <c r="K538" s="466">
        <f t="shared" ca="1" si="235"/>
        <v>0</v>
      </c>
      <c r="L538" s="466"/>
      <c r="M538" s="466"/>
      <c r="N538" s="466"/>
      <c r="O538" s="466"/>
      <c r="P538" s="466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 hidden="1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IFERROR(__xludf.DUMMYFUNCTION("IMPORTRANGE(""https://docs.google.com/spreadsheets/d/1QqKyyYR6Q21VydFLVH3TRQUabQu_ym0Zz7PgGX0-kHA/edit?usp=sharing"",""แผน!GW17"")"),0)</f>
        <v>0</v>
      </c>
      <c r="J539" s="215">
        <v>0</v>
      </c>
      <c r="K539" s="466">
        <f t="shared" ca="1" si="235"/>
        <v>0</v>
      </c>
      <c r="L539" s="466"/>
      <c r="M539" s="466"/>
      <c r="N539" s="466"/>
      <c r="O539" s="466"/>
      <c r="P539" s="466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 hidden="1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IFERROR(__xludf.DUMMYFUNCTION("IMPORTRANGE(""https://docs.google.com/spreadsheets/d/1QqKyyYR6Q21VydFLVH3TRQUabQu_ym0Zz7PgGX0-kHA/edit?usp=sharing"",""แผน!GX17"")"),0)</f>
        <v>0</v>
      </c>
      <c r="J540" s="215">
        <v>0</v>
      </c>
      <c r="K540" s="466">
        <f t="shared" ca="1" si="235"/>
        <v>0</v>
      </c>
      <c r="L540" s="466"/>
      <c r="M540" s="466"/>
      <c r="N540" s="466"/>
      <c r="O540" s="466"/>
      <c r="P540" s="466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 hidden="1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IFERROR(__xludf.DUMMYFUNCTION("IMPORTRANGE(""https://docs.google.com/spreadsheets/d/1QqKyyYR6Q21VydFLVH3TRQUabQu_ym0Zz7PgGX0-kHA/edit?usp=sharing"",""แผน!GY17"")"),0)</f>
        <v>0</v>
      </c>
      <c r="J541" s="215">
        <v>0</v>
      </c>
      <c r="K541" s="466">
        <f t="shared" ca="1" si="235"/>
        <v>0</v>
      </c>
      <c r="L541" s="466"/>
      <c r="M541" s="466"/>
      <c r="N541" s="466"/>
      <c r="O541" s="466"/>
      <c r="P541" s="466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 hidden="1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IFERROR(__xludf.DUMMYFUNCTION("IMPORTRANGE(""https://docs.google.com/spreadsheets/d/1QqKyyYR6Q21VydFLVH3TRQUabQu_ym0Zz7PgGX0-kHA/edit?usp=sharing"",""แผน!GZ17"")"),0)</f>
        <v>0</v>
      </c>
      <c r="J542" s="215">
        <v>0</v>
      </c>
      <c r="K542" s="466">
        <f t="shared" ca="1" si="235"/>
        <v>0</v>
      </c>
      <c r="L542" s="466"/>
      <c r="M542" s="466"/>
      <c r="N542" s="466"/>
      <c r="O542" s="466"/>
      <c r="P542" s="466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6">I559</f>
        <v>43092</v>
      </c>
      <c r="J543" s="654">
        <f t="shared" si="236"/>
        <v>0</v>
      </c>
      <c r="K543" s="655">
        <f t="shared" ca="1" si="235"/>
        <v>0</v>
      </c>
      <c r="L543" s="655"/>
      <c r="M543" s="655"/>
      <c r="N543" s="655"/>
      <c r="O543" s="655"/>
      <c r="P543" s="655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7">L545+L546</f>
        <v>373285</v>
      </c>
      <c r="M544" s="155">
        <f t="shared" si="237"/>
        <v>0</v>
      </c>
      <c r="N544" s="155">
        <f t="shared" si="237"/>
        <v>171965.2</v>
      </c>
      <c r="O544" s="155">
        <f t="shared" ref="O544:O549" ca="1" si="238">IF(L544&gt;0,N544*100/L544,0)</f>
        <v>46.068071312803887</v>
      </c>
      <c r="P544" s="155">
        <f t="shared" ref="P544:P549" si="239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40">L548+L556</f>
        <v>0</v>
      </c>
      <c r="M545" s="93">
        <f t="shared" ref="M545:N546" si="241">M548+M555</f>
        <v>0</v>
      </c>
      <c r="N545" s="93">
        <f t="shared" si="241"/>
        <v>0</v>
      </c>
      <c r="O545" s="93">
        <f t="shared" si="238"/>
        <v>0</v>
      </c>
      <c r="P545" s="93">
        <f t="shared" si="239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40"/>
        <v>373285</v>
      </c>
      <c r="M546" s="93">
        <f t="shared" si="241"/>
        <v>0</v>
      </c>
      <c r="N546" s="93">
        <f t="shared" si="241"/>
        <v>171965.2</v>
      </c>
      <c r="O546" s="93">
        <f t="shared" ca="1" si="238"/>
        <v>46.068071312803887</v>
      </c>
      <c r="P546" s="93">
        <f t="shared" si="239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2">L548+L549</f>
        <v>373285</v>
      </c>
      <c r="M547" s="466">
        <f t="shared" si="242"/>
        <v>0</v>
      </c>
      <c r="N547" s="466">
        <f t="shared" si="242"/>
        <v>171965.2</v>
      </c>
      <c r="O547" s="466">
        <f t="shared" ca="1" si="238"/>
        <v>46.068071312803887</v>
      </c>
      <c r="P547" s="466">
        <f t="shared" si="239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8"/>
        <v>0</v>
      </c>
      <c r="P548" s="93">
        <f t="shared" si="239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IFERROR(__xludf.DUMMYFUNCTION("IMPORTRANGE(""https://docs.google.com/spreadsheets/d/1QqKyyYR6Q21VydFLVH3TRQUabQu_ym0Zz7PgGX0-kHA/edit?usp=sharing"",""แผน!HB17"")"),373285)</f>
        <v>373285</v>
      </c>
      <c r="M549" s="93">
        <v>0</v>
      </c>
      <c r="N549" s="93">
        <f>N550+N551+N552+N553+N554</f>
        <v>171965.2</v>
      </c>
      <c r="O549" s="93">
        <f t="shared" ca="1" si="238"/>
        <v>46.068071312803887</v>
      </c>
      <c r="P549" s="93">
        <f t="shared" si="239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801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801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801">
        <v>39000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801">
        <v>132965.20000000001</v>
      </c>
      <c r="O553" s="466"/>
      <c r="P553" s="466"/>
      <c r="Q553" s="542"/>
      <c r="R553" s="542">
        <f>20515+14300.2</f>
        <v>34815.199999999997</v>
      </c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/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3">L556+L557</f>
        <v>0</v>
      </c>
      <c r="M555" s="466">
        <f t="shared" si="243"/>
        <v>0</v>
      </c>
      <c r="N555" s="466">
        <f t="shared" si="243"/>
        <v>0</v>
      </c>
      <c r="O555" s="466">
        <f t="shared" ref="O555:O557" ca="1" si="244">IF(L555&gt;0,N555*100/L555,0)</f>
        <v>0</v>
      </c>
      <c r="P555" s="466">
        <f t="shared" ref="P555:P557" si="245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4"/>
        <v>0</v>
      </c>
      <c r="P556" s="93">
        <f t="shared" si="245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IFERROR(__xludf.DUMMYFUNCTION("IMPORTRANGE(""https://docs.google.com/spreadsheets/d/1QqKyyYR6Q21VydFLVH3TRQUabQu_ym0Zz7PgGX0-kHA/edit?usp=sharing"",""แผน!HF17"")"),0)</f>
        <v>0</v>
      </c>
      <c r="M557" s="93">
        <v>0</v>
      </c>
      <c r="N557" s="93">
        <v>0</v>
      </c>
      <c r="O557" s="93">
        <f t="shared" ca="1" si="244"/>
        <v>0</v>
      </c>
      <c r="P557" s="93">
        <f t="shared" si="245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6">I576</f>
        <v>43092</v>
      </c>
      <c r="J559" s="675">
        <f t="shared" si="246"/>
        <v>0</v>
      </c>
      <c r="K559" s="644">
        <f t="shared" ref="K559:K561" ca="1" si="247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903"/>
      <c r="B560" s="592"/>
      <c r="C560" s="592" t="s">
        <v>235</v>
      </c>
      <c r="D560" s="592"/>
      <c r="E560" s="382"/>
      <c r="F560" s="382"/>
      <c r="G560" s="904"/>
      <c r="H560" s="734" t="s">
        <v>46</v>
      </c>
      <c r="I560" s="193">
        <f ca="1">IFERROR(__xludf.DUMMYFUNCTION("IMPORTRANGE(""https://docs.google.com/spreadsheets/d/1QqKyyYR6Q21VydFLVH3TRQUabQu_ym0Zz7PgGX0-kHA/edit?usp=sharing"",""แผน!HH17"")"),43092)</f>
        <v>43092</v>
      </c>
      <c r="J560" s="193">
        <f t="shared" ref="J560:J561" si="248">J562+J564+J566</f>
        <v>43092.34</v>
      </c>
      <c r="K560" s="380">
        <f t="shared" ca="1" si="247"/>
        <v>100.00078900956093</v>
      </c>
      <c r="L560" s="380"/>
      <c r="M560" s="380"/>
      <c r="N560" s="380"/>
      <c r="O560" s="380"/>
      <c r="P560" s="380"/>
      <c r="Q560" s="905"/>
      <c r="R560" s="905"/>
      <c r="S560" s="905"/>
      <c r="T560" s="905"/>
      <c r="U560" s="905"/>
      <c r="V560" s="905"/>
      <c r="W560" s="905"/>
      <c r="X560" s="905"/>
      <c r="Y560" s="905"/>
      <c r="Z560" s="905"/>
    </row>
    <row r="561" spans="1:26" ht="19.5">
      <c r="A561" s="903"/>
      <c r="B561" s="592"/>
      <c r="C561" s="592"/>
      <c r="D561" s="382"/>
      <c r="E561" s="382"/>
      <c r="F561" s="382"/>
      <c r="G561" s="904"/>
      <c r="H561" s="734" t="s">
        <v>34</v>
      </c>
      <c r="I561" s="193">
        <f ca="1">IFERROR(__xludf.DUMMYFUNCTION("IMPORTRANGE(""https://docs.google.com/spreadsheets/d/1QqKyyYR6Q21VydFLVH3TRQUabQu_ym0Zz7PgGX0-kHA/edit?usp=sharing"",""แผน!HG17"")"),5108)</f>
        <v>5108</v>
      </c>
      <c r="J561" s="193">
        <f t="shared" si="248"/>
        <v>5108</v>
      </c>
      <c r="K561" s="380">
        <f t="shared" ca="1" si="247"/>
        <v>100</v>
      </c>
      <c r="L561" s="380"/>
      <c r="M561" s="380"/>
      <c r="N561" s="380"/>
      <c r="O561" s="380"/>
      <c r="P561" s="380"/>
      <c r="Q561" s="905"/>
      <c r="R561" s="905"/>
      <c r="S561" s="905"/>
      <c r="T561" s="905"/>
      <c r="U561" s="905"/>
      <c r="V561" s="905"/>
      <c r="W561" s="905"/>
      <c r="X561" s="905"/>
      <c r="Y561" s="905"/>
      <c r="Z561" s="905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v>39166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v>4759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v>2992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v>247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v>934.34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v>102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903"/>
      <c r="B568" s="592"/>
      <c r="C568" s="592" t="s">
        <v>239</v>
      </c>
      <c r="D568" s="382"/>
      <c r="E568" s="382"/>
      <c r="F568" s="382"/>
      <c r="G568" s="904"/>
      <c r="H568" s="734" t="s">
        <v>46</v>
      </c>
      <c r="I568" s="193">
        <f ca="1">IFERROR(__xludf.DUMMYFUNCTION("IMPORTRANGE(""https://docs.google.com/spreadsheets/d/1QqKyyYR6Q21VydFLVH3TRQUabQu_ym0Zz7PgGX0-kHA/edit?usp=sharing"",""แผน!HH17"")"),43092)</f>
        <v>43092</v>
      </c>
      <c r="J568" s="648">
        <f t="shared" ref="J568:J569" si="249">J570+J572+J574</f>
        <v>22115</v>
      </c>
      <c r="K568" s="380">
        <f t="shared" ref="K568:K569" ca="1" si="250">IF(I568&gt;0,J568*100/I568,0)</f>
        <v>51.320430706395619</v>
      </c>
      <c r="L568" s="380"/>
      <c r="M568" s="380"/>
      <c r="N568" s="380"/>
      <c r="O568" s="380"/>
      <c r="P568" s="380"/>
      <c r="Q568" s="905"/>
      <c r="R568" s="905"/>
      <c r="S568" s="905"/>
      <c r="T568" s="905"/>
      <c r="U568" s="905"/>
      <c r="V568" s="905"/>
      <c r="W568" s="905"/>
      <c r="X568" s="905"/>
      <c r="Y568" s="905"/>
      <c r="Z568" s="905"/>
    </row>
    <row r="569" spans="1:26" ht="19.5">
      <c r="A569" s="903"/>
      <c r="B569" s="592"/>
      <c r="C569" s="592"/>
      <c r="D569" s="592"/>
      <c r="E569" s="382"/>
      <c r="F569" s="382"/>
      <c r="G569" s="904"/>
      <c r="H569" s="734" t="s">
        <v>34</v>
      </c>
      <c r="I569" s="193">
        <f ca="1">IFERROR(__xludf.DUMMYFUNCTION("IMPORTRANGE(""https://docs.google.com/spreadsheets/d/1QqKyyYR6Q21VydFLVH3TRQUabQu_ym0Zz7PgGX0-kHA/edit?usp=sharing"",""แผน!HG17"")"),5108)</f>
        <v>5108</v>
      </c>
      <c r="J569" s="648">
        <f t="shared" si="249"/>
        <v>2680</v>
      </c>
      <c r="K569" s="380">
        <f t="shared" ca="1" si="250"/>
        <v>52.466718872357085</v>
      </c>
      <c r="L569" s="380"/>
      <c r="M569" s="380"/>
      <c r="N569" s="380"/>
      <c r="O569" s="380"/>
      <c r="P569" s="380"/>
      <c r="Q569" s="905"/>
      <c r="R569" s="905"/>
      <c r="S569" s="905"/>
      <c r="T569" s="905"/>
      <c r="U569" s="905"/>
      <c r="V569" s="905"/>
      <c r="W569" s="905"/>
      <c r="X569" s="905"/>
      <c r="Y569" s="905"/>
      <c r="Z569" s="905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20359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2557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1583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99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173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24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903"/>
      <c r="B576" s="592"/>
      <c r="C576" s="592" t="s">
        <v>243</v>
      </c>
      <c r="D576" s="592"/>
      <c r="E576" s="592"/>
      <c r="F576" s="382"/>
      <c r="G576" s="904"/>
      <c r="H576" s="734" t="s">
        <v>46</v>
      </c>
      <c r="I576" s="193">
        <f ca="1">IFERROR(__xludf.DUMMYFUNCTION("IMPORTRANGE(""https://docs.google.com/spreadsheets/d/1QqKyyYR6Q21VydFLVH3TRQUabQu_ym0Zz7PgGX0-kHA/edit?usp=sharing"",""แผน!HH17"")"),43092)</f>
        <v>43092</v>
      </c>
      <c r="J576" s="648">
        <f t="shared" ref="J576:J577" si="251">J578+J580+J582+J588+J590</f>
        <v>0</v>
      </c>
      <c r="K576" s="380">
        <f t="shared" ref="K576:K577" ca="1" si="252">IF(I576&gt;0,J576*100/I576,0)</f>
        <v>0</v>
      </c>
      <c r="L576" s="380"/>
      <c r="M576" s="380"/>
      <c r="N576" s="380"/>
      <c r="O576" s="380"/>
      <c r="P576" s="380"/>
      <c r="Q576" s="905"/>
      <c r="R576" s="905"/>
      <c r="S576" s="905"/>
      <c r="T576" s="905"/>
      <c r="U576" s="905"/>
      <c r="V576" s="905"/>
      <c r="W576" s="905"/>
      <c r="X576" s="905"/>
      <c r="Y576" s="905"/>
      <c r="Z576" s="905"/>
    </row>
    <row r="577" spans="1:26" ht="19.5">
      <c r="A577" s="903"/>
      <c r="B577" s="592"/>
      <c r="C577" s="592"/>
      <c r="D577" s="592"/>
      <c r="E577" s="382"/>
      <c r="F577" s="382"/>
      <c r="G577" s="904"/>
      <c r="H577" s="734" t="s">
        <v>34</v>
      </c>
      <c r="I577" s="193">
        <f ca="1">IFERROR(__xludf.DUMMYFUNCTION("IMPORTRANGE(""https://docs.google.com/spreadsheets/d/1QqKyyYR6Q21VydFLVH3TRQUabQu_ym0Zz7PgGX0-kHA/edit?usp=sharing"",""แผน!HG17"")"),5108)</f>
        <v>5108</v>
      </c>
      <c r="J577" s="648">
        <f t="shared" si="251"/>
        <v>0</v>
      </c>
      <c r="K577" s="380">
        <f t="shared" ca="1" si="252"/>
        <v>0</v>
      </c>
      <c r="L577" s="380"/>
      <c r="M577" s="380"/>
      <c r="N577" s="380"/>
      <c r="O577" s="380"/>
      <c r="P577" s="380"/>
      <c r="Q577" s="905"/>
      <c r="R577" s="905"/>
      <c r="S577" s="905"/>
      <c r="T577" s="905"/>
      <c r="U577" s="905"/>
      <c r="V577" s="905"/>
      <c r="W577" s="905"/>
      <c r="X577" s="905"/>
      <c r="Y577" s="905"/>
      <c r="Z577" s="905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/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/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/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/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3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3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/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/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4">I593</f>
        <v>1120.57</v>
      </c>
      <c r="J592" s="675">
        <f t="shared" si="254"/>
        <v>0</v>
      </c>
      <c r="K592" s="644">
        <f t="shared" ref="K592:K594" ca="1" si="255">IF(I592&gt;0,J592*100/I592,0)</f>
        <v>0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IFERROR(__xludf.DUMMYFUNCTION("IMPORTRANGE(""https://docs.google.com/spreadsheets/d/1QqKyyYR6Q21VydFLVH3TRQUabQu_ym0Zz7PgGX0-kHA/edit?usp=sharing"",""แผน!HJ17"")"),1120.57)</f>
        <v>1120.57</v>
      </c>
      <c r="J593" s="193">
        <f t="shared" ref="J593:J594" si="256">J595+J603+J609</f>
        <v>0</v>
      </c>
      <c r="K593" s="380">
        <f t="shared" ca="1" si="255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IFERROR(__xludf.DUMMYFUNCTION("IMPORTRANGE(""https://docs.google.com/spreadsheets/d/1QqKyyYR6Q21VydFLVH3TRQUabQu_ym0Zz7PgGX0-kHA/edit?usp=sharing"",""แผน!HI17"")"),70)</f>
        <v>70</v>
      </c>
      <c r="J594" s="193">
        <f t="shared" si="256"/>
        <v>0</v>
      </c>
      <c r="K594" s="380">
        <f t="shared" ca="1" si="255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7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7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8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8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9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60">J614+J616</f>
        <v>0</v>
      </c>
      <c r="K612" s="684">
        <f t="shared" si="259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60"/>
        <v>0</v>
      </c>
      <c r="K613" s="684">
        <f t="shared" si="259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IFERROR(__xludf.DUMMYFUNCTION("IMPORTRANGE(""https://docs.google.com/spreadsheets/d/1QqKyyYR6Q21VydFLVH3TRQUabQu_ym0Zz7PgGX0-kHA/edit?usp=sharing"",""แผน!HL17"")"),127)</f>
        <v>127</v>
      </c>
      <c r="J620" s="695">
        <f t="shared" ref="J620:J621" si="261">J622+J624+J626</f>
        <v>0</v>
      </c>
      <c r="K620" s="696">
        <f t="shared" ref="K620:K621" ca="1" si="262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IFERROR(__xludf.DUMMYFUNCTION("IMPORTRANGE(""https://docs.google.com/spreadsheets/d/1QqKyyYR6Q21VydFLVH3TRQUabQu_ym0Zz7PgGX0-kHA/edit?usp=sharing"",""แผน!HK17"")"),9)</f>
        <v>9</v>
      </c>
      <c r="J621" s="695">
        <f t="shared" si="261"/>
        <v>0</v>
      </c>
      <c r="K621" s="696">
        <f t="shared" ca="1" si="262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906" t="s">
        <v>35</v>
      </c>
      <c r="I628" s="708">
        <f t="shared" ref="I628:J628" ca="1" si="263">I651</f>
        <v>250</v>
      </c>
      <c r="J628" s="708">
        <f t="shared" ca="1" si="263"/>
        <v>0</v>
      </c>
      <c r="K628" s="709">
        <f ca="1">IF(I628&gt;0,J628*100/I628,0)</f>
        <v>0</v>
      </c>
      <c r="L628" s="709"/>
      <c r="M628" s="709"/>
      <c r="N628" s="709"/>
      <c r="O628" s="709"/>
      <c r="P628" s="709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4">L630+L631</f>
        <v>440980</v>
      </c>
      <c r="M629" s="195">
        <f t="shared" si="264"/>
        <v>0</v>
      </c>
      <c r="N629" s="195">
        <f t="shared" si="264"/>
        <v>82740</v>
      </c>
      <c r="O629" s="195">
        <f t="shared" ref="O629:O634" ca="1" si="265">IF(L629&gt;0,N629*100/L629,0)</f>
        <v>18.762755680529729</v>
      </c>
      <c r="P629" s="195">
        <f t="shared" ref="P629:P634" si="266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7">L633+L640</f>
        <v>0</v>
      </c>
      <c r="M630" s="93">
        <f t="shared" si="267"/>
        <v>0</v>
      </c>
      <c r="N630" s="93">
        <f t="shared" si="267"/>
        <v>0</v>
      </c>
      <c r="O630" s="93">
        <f t="shared" si="265"/>
        <v>0</v>
      </c>
      <c r="P630" s="93">
        <f t="shared" si="266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7"/>
        <v>440980</v>
      </c>
      <c r="M631" s="93">
        <f t="shared" si="267"/>
        <v>0</v>
      </c>
      <c r="N631" s="93">
        <f t="shared" si="267"/>
        <v>82740</v>
      </c>
      <c r="O631" s="93">
        <f t="shared" ca="1" si="265"/>
        <v>18.762755680529729</v>
      </c>
      <c r="P631" s="93">
        <f t="shared" si="266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8">L633+L634</f>
        <v>440980</v>
      </c>
      <c r="M632" s="466">
        <f t="shared" si="268"/>
        <v>0</v>
      </c>
      <c r="N632" s="466">
        <f t="shared" si="268"/>
        <v>82740</v>
      </c>
      <c r="O632" s="466">
        <f t="shared" ca="1" si="265"/>
        <v>18.762755680529729</v>
      </c>
      <c r="P632" s="466">
        <f t="shared" si="266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5"/>
        <v>0</v>
      </c>
      <c r="P633" s="93">
        <f t="shared" si="266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IFERROR(__xludf.DUMMYFUNCTION("IMPORTRANGE(""https://docs.google.com/spreadsheets/d/1QqKyyYR6Q21VydFLVH3TRQUabQu_ym0Zz7PgGX0-kHA/edit?usp=sharing"",""แผน!HN17"")"),440980)</f>
        <v>440980</v>
      </c>
      <c r="M634" s="93">
        <v>0</v>
      </c>
      <c r="N634" s="93">
        <f>N635+N636+N637+N638</f>
        <v>82740</v>
      </c>
      <c r="O634" s="93">
        <f t="shared" ca="1" si="265"/>
        <v>18.762755680529729</v>
      </c>
      <c r="P634" s="93">
        <f t="shared" si="266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39000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v>43740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9">L640+L641</f>
        <v>0</v>
      </c>
      <c r="M639" s="466">
        <f t="shared" si="269"/>
        <v>0</v>
      </c>
      <c r="N639" s="466">
        <f t="shared" si="269"/>
        <v>0</v>
      </c>
      <c r="O639" s="466">
        <f t="shared" ref="O639:O641" ca="1" si="270">IF(L639&gt;0,N639*100/L639,0)</f>
        <v>0</v>
      </c>
      <c r="P639" s="466">
        <f t="shared" ref="P639:P641" si="271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70"/>
        <v>0</v>
      </c>
      <c r="P640" s="93">
        <f t="shared" si="271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IFERROR(__xludf.DUMMYFUNCTION("IMPORTRANGE(""https://docs.google.com/spreadsheets/d/1QqKyyYR6Q21VydFLVH3TRQUabQu_ym0Zz7PgGX0-kHA/edit?usp=sharing"",""แผน!HQ17"")"),0)</f>
        <v>0</v>
      </c>
      <c r="M641" s="93">
        <v>0</v>
      </c>
      <c r="N641" s="93">
        <v>0</v>
      </c>
      <c r="O641" s="93">
        <f t="shared" ca="1" si="270"/>
        <v>0</v>
      </c>
      <c r="P641" s="93">
        <f t="shared" si="271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IFERROR(__xludf.DUMMYFUNCTION("IMPORTRANGE(""https://docs.google.com/spreadsheets/d/1QqKyyYR6Q21VydFLVH3TRQUabQu_ym0Zz7PgGX0-kHA/edit?usp=sharing"",""แผน!HR17"")"),0)</f>
        <v>0</v>
      </c>
      <c r="J643" s="215">
        <v>0</v>
      </c>
      <c r="K643" s="163">
        <f t="shared" ref="K643:K652" ca="1" si="272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IFERROR(__xludf.DUMMYFUNCTION("IMPORTRANGE(""https://docs.google.com/spreadsheets/d/1QqKyyYR6Q21VydFLVH3TRQUabQu_ym0Zz7PgGX0-kHA/edit?usp=sharing"",""แผน!HR17"")"),0)</f>
        <v>0</v>
      </c>
      <c r="J644" s="215">
        <v>0</v>
      </c>
      <c r="K644" s="163">
        <f t="shared" ca="1" si="272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IFERROR(__xludf.DUMMYFUNCTION("IMPORTRANGE(""https://docs.google.com/spreadsheets/d/1XWAQStnk-4SwqDmLtmXYiTMKHgktTP8We1SCoS47DrQ/edit?usp=sharing"",""จัดที่ดิน!AS17"")"),46)</f>
        <v>46</v>
      </c>
      <c r="K645" s="163">
        <f t="shared" si="272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IFERROR(__xludf.DUMMYFUNCTION("IMPORTRANGE(""https://docs.google.com/spreadsheets/d/1XWAQStnk-4SwqDmLtmXYiTMKHgktTP8We1SCoS47DrQ/edit?usp=sharing"",""จัดที่ดิน!AT17"")"),23.06)</f>
        <v>23.06</v>
      </c>
      <c r="K646" s="466">
        <f t="shared" si="272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IFERROR(__xludf.DUMMYFUNCTION("IMPORTRANGE(""https://docs.google.com/spreadsheets/d/1QqKyyYR6Q21VydFLVH3TRQUabQu_ym0Zz7PgGX0-kHA/edit?usp=sharing"",""แผน!HS17"")"),250)</f>
        <v>250</v>
      </c>
      <c r="J647" s="270">
        <f ca="1">IFERROR(__xludf.DUMMYFUNCTION("IMPORTRANGE(""https://docs.google.com/spreadsheets/d/1XWAQStnk-4SwqDmLtmXYiTMKHgktTP8We1SCoS47DrQ/edit?usp=sharing"",""จัดที่ดิน!AU17"")"),7)</f>
        <v>7</v>
      </c>
      <c r="K647" s="163">
        <f t="shared" ca="1" si="272"/>
        <v>2.8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IFERROR(__xludf.DUMMYFUNCTION("IMPORTRANGE(""https://docs.google.com/spreadsheets/d/1XWAQStnk-4SwqDmLtmXYiTMKHgktTP8We1SCoS47DrQ/edit?usp=sharing"",""จัดที่ดิน!AV17"")"),4.57)</f>
        <v>4.57</v>
      </c>
      <c r="K648" s="466">
        <f t="shared" si="272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IFERROR(__xludf.DUMMYFUNCTION("IMPORTRANGE(""https://docs.google.com/spreadsheets/d/1QqKyyYR6Q21VydFLVH3TRQUabQu_ym0Zz7PgGX0-kHA/edit?usp=sharing"",""แผน!HS17"")"),250)</f>
        <v>250</v>
      </c>
      <c r="J649" s="270">
        <f ca="1">IFERROR(__xludf.DUMMYFUNCTION("IMPORTRANGE(""https://docs.google.com/spreadsheets/d/1XWAQStnk-4SwqDmLtmXYiTMKHgktTP8We1SCoS47DrQ/edit?usp=sharing"",""จัดที่ดิน!AW17"")"),0)</f>
        <v>0</v>
      </c>
      <c r="K649" s="163">
        <f t="shared" ca="1" si="272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IFERROR(__xludf.DUMMYFUNCTION("IMPORTRANGE(""https://docs.google.com/spreadsheets/d/1XWAQStnk-4SwqDmLtmXYiTMKHgktTP8We1SCoS47DrQ/edit?usp=sharing"",""จัดที่ดิน!AX17"")"),0)</f>
        <v>0</v>
      </c>
      <c r="K650" s="466">
        <f t="shared" si="272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IFERROR(__xludf.DUMMYFUNCTION("IMPORTRANGE(""https://docs.google.com/spreadsheets/d/1QqKyyYR6Q21VydFLVH3TRQUabQu_ym0Zz7PgGX0-kHA/edit?usp=sharing"",""แผน!HS17"")"),250)</f>
        <v>250</v>
      </c>
      <c r="J651" s="270">
        <f ca="1">IFERROR(__xludf.DUMMYFUNCTION("IMPORTRANGE(""https://docs.google.com/spreadsheets/d/1XWAQStnk-4SwqDmLtmXYiTMKHgktTP8We1SCoS47DrQ/edit?usp=sharing"",""จัดที่ดิน!AY17"")"),0)</f>
        <v>0</v>
      </c>
      <c r="K651" s="163">
        <f t="shared" ca="1" si="272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IFERROR(__xludf.DUMMYFUNCTION("IMPORTRANGE(""https://docs.google.com/spreadsheets/d/1XWAQStnk-4SwqDmLtmXYiTMKHgktTP8We1SCoS47DrQ/edit?usp=sharing"",""จัดที่ดิน!AZ17"")"),0)</f>
        <v>0</v>
      </c>
      <c r="K652" s="470">
        <f t="shared" si="272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 hidden="1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 hidden="1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3">I669</f>
        <v>0</v>
      </c>
      <c r="J654" s="675">
        <f t="shared" si="273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 hidden="1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4">L656+L657</f>
        <v>0</v>
      </c>
      <c r="M655" s="195">
        <f t="shared" si="274"/>
        <v>0</v>
      </c>
      <c r="N655" s="195">
        <f t="shared" si="274"/>
        <v>0</v>
      </c>
      <c r="O655" s="195">
        <f t="shared" ref="O655:O660" ca="1" si="275">IF(L655&gt;0,N655*100/L655,0)</f>
        <v>0</v>
      </c>
      <c r="P655" s="195">
        <f t="shared" ref="P655:P660" si="276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7">L659+L666</f>
        <v>0</v>
      </c>
      <c r="M656" s="93">
        <f t="shared" si="277"/>
        <v>0</v>
      </c>
      <c r="N656" s="93">
        <f t="shared" si="277"/>
        <v>0</v>
      </c>
      <c r="O656" s="93">
        <f t="shared" si="275"/>
        <v>0</v>
      </c>
      <c r="P656" s="93">
        <f t="shared" si="276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7"/>
        <v>0</v>
      </c>
      <c r="M657" s="93">
        <f t="shared" si="277"/>
        <v>0</v>
      </c>
      <c r="N657" s="93">
        <f t="shared" si="277"/>
        <v>0</v>
      </c>
      <c r="O657" s="93">
        <f t="shared" ca="1" si="275"/>
        <v>0</v>
      </c>
      <c r="P657" s="93">
        <f t="shared" si="276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 hidden="1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8">L659+L660</f>
        <v>0</v>
      </c>
      <c r="M658" s="466">
        <f t="shared" si="278"/>
        <v>0</v>
      </c>
      <c r="N658" s="466">
        <f t="shared" si="278"/>
        <v>0</v>
      </c>
      <c r="O658" s="466">
        <f t="shared" ca="1" si="275"/>
        <v>0</v>
      </c>
      <c r="P658" s="466">
        <f t="shared" si="276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5"/>
        <v>0</v>
      </c>
      <c r="P659" s="93">
        <f t="shared" si="276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IFERROR(__xludf.DUMMYFUNCTION("IMPORTRANGE(""https://docs.google.com/spreadsheets/d/1QqKyyYR6Q21VydFLVH3TRQUabQu_ym0Zz7PgGX0-kHA/edit?usp=sharing"",""แผน!HV17"")"),0)</f>
        <v>0</v>
      </c>
      <c r="M660" s="93">
        <v>0</v>
      </c>
      <c r="N660" s="93">
        <f>N661+N662+N663+N664</f>
        <v>0</v>
      </c>
      <c r="O660" s="93">
        <f t="shared" ca="1" si="275"/>
        <v>0</v>
      </c>
      <c r="P660" s="93">
        <f t="shared" si="276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 hidden="1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 hidden="1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 hidden="1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 hidden="1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 hidden="1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9">L666+L667</f>
        <v>0</v>
      </c>
      <c r="M665" s="466">
        <f t="shared" si="279"/>
        <v>0</v>
      </c>
      <c r="N665" s="466">
        <f t="shared" si="279"/>
        <v>0</v>
      </c>
      <c r="O665" s="466">
        <f t="shared" ref="O665:O667" si="280">IF(L665&gt;0,N665*100/L665,0)</f>
        <v>0</v>
      </c>
      <c r="P665" s="466">
        <f t="shared" ref="P665:P667" si="281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80"/>
        <v>0</v>
      </c>
      <c r="P666" s="93">
        <f t="shared" si="281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80"/>
        <v>0</v>
      </c>
      <c r="P667" s="93">
        <f t="shared" si="281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 hidden="1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 hidden="1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IFERROR(__xludf.DUMMYFUNCTION("IMPORTRANGE(""https://docs.google.com/spreadsheets/d/1QqKyyYR6Q21VydFLVH3TRQUabQu_ym0Zz7PgGX0-kHA/edit?usp=sharing"",""แผน!IA17"")"),0)</f>
        <v>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 hidden="1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IFERROR(__xludf.DUMMYFUNCTION("IMPORTRANGE(""https://docs.google.com/spreadsheets/d/1QqKyyYR6Q21VydFLVH3TRQUabQu_ym0Zz7PgGX0-kHA/edit?usp=sharing"",""แผน!HZ17"")"),0)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 hidden="1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IFERROR(__xludf.DUMMYFUNCTION("IMPORTRANGE(""https://docs.google.com/spreadsheets/d/1QqKyyYR6Q21VydFLVH3TRQUabQu_ym0Zz7PgGX0-kHA/edit?usp=sharing"",""แผน!HZ17"")"),0)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 hidden="1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0</v>
      </c>
      <c r="K672" s="466">
        <f t="shared" ref="K672:K675" ca="1" si="282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 hidden="1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2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 hidden="1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2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 hidden="1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2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 hidden="1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 hidden="1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 hidden="1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IFERROR(__xludf.DUMMYFUNCTION("IMPORTRANGE(""https://docs.google.com/spreadsheets/d/1QqKyyYR6Q21VydFLVH3TRQUabQu_ym0Zz7PgGX0-kHA/edit?usp=sharing"",""แผน!IB17"")"),0)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 hidden="1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 hidden="1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 hidden="1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 hidden="1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 hidden="1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 hidden="1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 hidden="1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3">L686+L687</f>
        <v>0</v>
      </c>
      <c r="M685" s="195">
        <f t="shared" si="283"/>
        <v>0</v>
      </c>
      <c r="N685" s="195">
        <f t="shared" si="283"/>
        <v>0</v>
      </c>
      <c r="O685" s="195">
        <f t="shared" ref="O685:O688" ca="1" si="284">IF(L685&gt;0,N685*100/L685,0)</f>
        <v>0</v>
      </c>
      <c r="P685" s="195">
        <f t="shared" ref="P685:P688" si="285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6">L689+L696</f>
        <v>0</v>
      </c>
      <c r="M686" s="93">
        <f t="shared" si="286"/>
        <v>0</v>
      </c>
      <c r="N686" s="93">
        <f t="shared" si="286"/>
        <v>0</v>
      </c>
      <c r="O686" s="93">
        <f t="shared" si="284"/>
        <v>0</v>
      </c>
      <c r="P686" s="93">
        <f t="shared" si="285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6"/>
        <v>0</v>
      </c>
      <c r="M687" s="93">
        <f t="shared" si="286"/>
        <v>0</v>
      </c>
      <c r="N687" s="93">
        <f t="shared" si="286"/>
        <v>0</v>
      </c>
      <c r="O687" s="93">
        <f t="shared" ca="1" si="284"/>
        <v>0</v>
      </c>
      <c r="P687" s="93">
        <f t="shared" si="285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 hidden="1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7">L689+L690</f>
        <v>0</v>
      </c>
      <c r="M688" s="466">
        <f t="shared" si="287"/>
        <v>0</v>
      </c>
      <c r="N688" s="466">
        <f t="shared" si="287"/>
        <v>0</v>
      </c>
      <c r="O688" s="466">
        <f t="shared" ca="1" si="284"/>
        <v>0</v>
      </c>
      <c r="P688" s="466">
        <f t="shared" si="285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IFERROR(__xludf.DUMMYFUNCTION("IMPORTRANGE(""https://docs.google.com/spreadsheets/d/1QqKyyYR6Q21VydFLVH3TRQUabQu_ym0Zz7PgGX0-kHA/edit?usp=sharing"",""แผน!HW17"")"),0)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 hidden="1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 hidden="1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 hidden="1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 hidden="1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 hidden="1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8">L696+L697</f>
        <v>0</v>
      </c>
      <c r="M695" s="466">
        <f t="shared" si="288"/>
        <v>0</v>
      </c>
      <c r="N695" s="466">
        <f t="shared" si="288"/>
        <v>0</v>
      </c>
      <c r="O695" s="466">
        <f t="shared" ref="O695:O697" si="289">IF(L695&gt;0,N695*100/L695,0)</f>
        <v>0</v>
      </c>
      <c r="P695" s="466">
        <f t="shared" ref="P695:P697" si="290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9"/>
        <v>0</v>
      </c>
      <c r="P696" s="93">
        <f t="shared" si="290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9"/>
        <v>0</v>
      </c>
      <c r="P697" s="93">
        <f t="shared" si="290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 hidden="1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 hidden="1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IFERROR(__xludf.DUMMYFUNCTION("IMPORTRANGE(""https://docs.google.com/spreadsheets/d/1QqKyyYR6Q21VydFLVH3TRQUabQu_ym0Zz7PgGX0-kHA/edit?usp=sharing"",""แผน!IC17"")"),0)</f>
        <v>0</v>
      </c>
      <c r="J699" s="270">
        <f ca="1">IFERROR(__xludf.DUMMYFUNCTION("IMPORTRANGE(""https://docs.google.com/spreadsheets/d/1XWAQStnk-4SwqDmLtmXYiTMKHgktTP8We1SCoS47DrQ/edit?usp=sharing"",""จัดที่ดิน!BB17"")"),0)</f>
        <v>0</v>
      </c>
      <c r="K699" s="466">
        <f t="shared" ref="K699:K701" ca="1" si="291">IF(I699&gt;0,J699*100/I699,0)</f>
        <v>0</v>
      </c>
      <c r="L699" s="466"/>
      <c r="M699" s="189"/>
      <c r="N699" s="733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 hidden="1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IFERROR(__xludf.DUMMYFUNCTION("IMPORTRANGE(""https://docs.google.com/spreadsheets/d/1QqKyyYR6Q21VydFLVH3TRQUabQu_ym0Zz7PgGX0-kHA/edit?usp=sharing"",""แผน!ID17"")"),0)</f>
        <v>0</v>
      </c>
      <c r="J700" s="270">
        <f ca="1">IFERROR(__xludf.DUMMYFUNCTION("IMPORTRANGE(""https://docs.google.com/spreadsheets/d/1XWAQStnk-4SwqDmLtmXYiTMKHgktTP8We1SCoS47DrQ/edit?usp=sharing"",""จัดที่ดิน!BD17"")"),0)</f>
        <v>0</v>
      </c>
      <c r="K700" s="466">
        <f t="shared" ca="1" si="291"/>
        <v>0</v>
      </c>
      <c r="L700" s="466"/>
      <c r="M700" s="189"/>
      <c r="N700" s="733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 hidden="1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IFERROR(__xludf.DUMMYFUNCTION("IMPORTRANGE(""https://docs.google.com/spreadsheets/d/1QqKyyYR6Q21VydFLVH3TRQUabQu_ym0Zz7PgGX0-kHA/edit?usp=sharing"",""แผน!IE17"")"),0)</f>
        <v>0</v>
      </c>
      <c r="J701" s="648">
        <f>J704+J707</f>
        <v>0</v>
      </c>
      <c r="K701" s="195">
        <f t="shared" ca="1" si="291"/>
        <v>0</v>
      </c>
      <c r="L701" s="466"/>
      <c r="M701" s="189"/>
      <c r="N701" s="733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 hidden="1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 hidden="1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 hidden="1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IFERROR(__xludf.DUMMYFUNCTION("IMPORTRANGE(""https://docs.google.com/spreadsheets/d/1QqKyyYR6Q21VydFLVH3TRQUabQu_ym0Zz7PgGX0-kHA/edit?usp=sharing"",""แผน!IF17"")"),0)</f>
        <v>0</v>
      </c>
      <c r="J704" s="215">
        <v>0</v>
      </c>
      <c r="K704" s="466"/>
      <c r="L704" s="466"/>
      <c r="M704" s="189"/>
      <c r="N704" s="733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 hidden="1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0</v>
      </c>
      <c r="K705" s="466"/>
      <c r="L705" s="466"/>
      <c r="M705" s="189"/>
      <c r="N705" s="733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 hidden="1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0</v>
      </c>
      <c r="K706" s="466"/>
      <c r="L706" s="466"/>
      <c r="M706" s="189"/>
      <c r="N706" s="733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 hidden="1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IFERROR(__xludf.DUMMYFUNCTION("IMPORTRANGE(""https://docs.google.com/spreadsheets/d/1QqKyyYR6Q21VydFLVH3TRQUabQu_ym0Zz7PgGX0-kHA/edit?usp=sharing"",""แผน!IG17"")"),0)</f>
        <v>0</v>
      </c>
      <c r="J707" s="215">
        <v>0</v>
      </c>
      <c r="K707" s="466"/>
      <c r="L707" s="466"/>
      <c r="M707" s="189"/>
      <c r="N707" s="733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 hidden="1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IFERROR(__xludf.DUMMYFUNCTION("IMPORTRANGE(""https://docs.google.com/spreadsheets/d/1QqKyyYR6Q21VydFLVH3TRQUabQu_ym0Zz7PgGX0-kHA/edit?usp=sharing"",""แผน!IH17"")"),0)</f>
        <v>0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 hidden="1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 hidden="1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 hidden="1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 hidden="1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 hidden="1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 hidden="1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 hidden="1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 hidden="1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 hidden="1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 hidden="1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IFERROR(__xludf.DUMMYFUNCTION("IMPORTRANGE(""https://docs.google.com/spreadsheets/d/1XWAQStnk-4SwqDmLtmXYiTMKHgktTP8We1SCoS47DrQ/edit?usp=sharing"",""จัดที่ดิน!BF17"")"),0)</f>
        <v>0</v>
      </c>
      <c r="K718" s="466"/>
      <c r="L718" s="466"/>
      <c r="M718" s="189"/>
      <c r="N718" s="733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 hidden="1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IFERROR(__xludf.DUMMYFUNCTION("IMPORTRANGE(""https://docs.google.com/spreadsheets/d/1XWAQStnk-4SwqDmLtmXYiTMKHgktTP8We1SCoS47DrQ/edit?usp=sharing"",""จัดที่ดิน!BG17"")"),0)</f>
        <v>0</v>
      </c>
      <c r="K719" s="466"/>
      <c r="L719" s="733"/>
      <c r="M719" s="189"/>
      <c r="N719" s="733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 hidden="1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IFERROR(__xludf.DUMMYFUNCTION("IMPORTRANGE(""https://docs.google.com/spreadsheets/d/1QqKyyYR6Q21VydFLVH3TRQUabQu_ym0Zz7PgGX0-kHA/edit?usp=sharing"",""แผน!II17"")"),0)</f>
        <v>0</v>
      </c>
      <c r="J720" s="270">
        <f ca="1">IFERROR(__xludf.DUMMYFUNCTION("IMPORTRANGE(""https://docs.google.com/spreadsheets/d/1XWAQStnk-4SwqDmLtmXYiTMKHgktTP8We1SCoS47DrQ/edit?usp=sharing"",""จัดที่ดิน!BH17"")"),0)</f>
        <v>0</v>
      </c>
      <c r="K720" s="466">
        <f t="shared" ref="K720:K723" ca="1" si="292">IF(I720&gt;0,J720*100/I720,0)</f>
        <v>0</v>
      </c>
      <c r="L720" s="733"/>
      <c r="M720" s="189"/>
      <c r="N720" s="733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 hidden="1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IFERROR(__xludf.DUMMYFUNCTION("IMPORTRANGE(""https://docs.google.com/spreadsheets/d/1QqKyyYR6Q21VydFLVH3TRQUabQu_ym0Zz7PgGX0-kHA/edit?usp=sharing"",""แผน!IJ17"")"),0)</f>
        <v>0</v>
      </c>
      <c r="J721" s="648">
        <f ca="1">J723+J726</f>
        <v>0</v>
      </c>
      <c r="K721" s="195">
        <f t="shared" ca="1" si="292"/>
        <v>0</v>
      </c>
      <c r="L721" s="733"/>
      <c r="M721" s="189"/>
      <c r="N721" s="733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 hidden="1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IFERROR(__xludf.DUMMYFUNCTION("IMPORTRANGE(""https://docs.google.com/spreadsheets/d/1QqKyyYR6Q21VydFLVH3TRQUabQu_ym0Zz7PgGX0-kHA/edit?usp=sharing"",""แผน!IK17"")"),0)</f>
        <v>0</v>
      </c>
      <c r="J722" s="648">
        <f ca="1">J725+J728</f>
        <v>0</v>
      </c>
      <c r="K722" s="195">
        <f t="shared" ca="1" si="292"/>
        <v>0</v>
      </c>
      <c r="L722" s="466"/>
      <c r="M722" s="189"/>
      <c r="N722" s="733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 hidden="1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IFERROR(__xludf.DUMMYFUNCTION("IMPORTRANGE(""https://docs.google.com/spreadsheets/d/1QqKyyYR6Q21VydFLVH3TRQUabQu_ym0Zz7PgGX0-kHA/edit?usp=sharing"",""แผน!IL17"")"),0)</f>
        <v>0</v>
      </c>
      <c r="J723" s="270">
        <f ca="1">IFERROR(__xludf.DUMMYFUNCTION("IMPORTRANGE(""https://docs.google.com/spreadsheets/d/1XWAQStnk-4SwqDmLtmXYiTMKHgktTP8We1SCoS47DrQ/edit?usp=sharing"",""จัดที่ดิน!BM17"")"),0)</f>
        <v>0</v>
      </c>
      <c r="K723" s="466">
        <f t="shared" ca="1" si="292"/>
        <v>0</v>
      </c>
      <c r="L723" s="466"/>
      <c r="M723" s="189"/>
      <c r="N723" s="733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 hidden="1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IFERROR(__xludf.DUMMYFUNCTION("IMPORTRANGE(""https://docs.google.com/spreadsheets/d/1XWAQStnk-4SwqDmLtmXYiTMKHgktTP8We1SCoS47DrQ/edit?usp=sharing"",""จัดที่ดิน!BN17"")"),0)</f>
        <v>0</v>
      </c>
      <c r="K724" s="466"/>
      <c r="L724" s="733"/>
      <c r="M724" s="189"/>
      <c r="N724" s="733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 hidden="1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IFERROR(__xludf.DUMMYFUNCTION("IMPORTRANGE(""https://docs.google.com/spreadsheets/d/1QqKyyYR6Q21VydFLVH3TRQUabQu_ym0Zz7PgGX0-kHA/edit?usp=sharing"",""แผน!IM17"")"),0)</f>
        <v>0</v>
      </c>
      <c r="J725" s="270">
        <f ca="1">IFERROR(__xludf.DUMMYFUNCTION("IMPORTRANGE(""https://docs.google.com/spreadsheets/d/1XWAQStnk-4SwqDmLtmXYiTMKHgktTP8We1SCoS47DrQ/edit?usp=sharing"",""จัดที่ดิน!BO17"")"),0)</f>
        <v>0</v>
      </c>
      <c r="K725" s="466">
        <f t="shared" ref="K725:K726" ca="1" si="293">IF(I725&gt;0,J725*100/I725,0)</f>
        <v>0</v>
      </c>
      <c r="L725" s="733"/>
      <c r="M725" s="189"/>
      <c r="N725" s="733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 hidden="1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IFERROR(__xludf.DUMMYFUNCTION("IMPORTRANGE(""https://docs.google.com/spreadsheets/d/1QqKyyYR6Q21VydFLVH3TRQUabQu_ym0Zz7PgGX0-kHA/edit?usp=sharing"",""แผน!IN17"")"),0)</f>
        <v>0</v>
      </c>
      <c r="J726" s="270">
        <f ca="1">IFERROR(__xludf.DUMMYFUNCTION("IMPORTRANGE(""https://docs.google.com/spreadsheets/d/1XWAQStnk-4SwqDmLtmXYiTMKHgktTP8We1SCoS47DrQ/edit?usp=sharing"",""จัดที่ดิน!BR17"")"),0)</f>
        <v>0</v>
      </c>
      <c r="K726" s="466">
        <f t="shared" ca="1" si="293"/>
        <v>0</v>
      </c>
      <c r="L726" s="466"/>
      <c r="M726" s="189"/>
      <c r="N726" s="733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 hidden="1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IFERROR(__xludf.DUMMYFUNCTION("IMPORTRANGE(""https://docs.google.com/spreadsheets/d/1XWAQStnk-4SwqDmLtmXYiTMKHgktTP8We1SCoS47DrQ/edit?usp=sharing"",""จัดที่ดิน!BS17"")"),0)</f>
        <v>0</v>
      </c>
      <c r="K727" s="466"/>
      <c r="L727" s="733"/>
      <c r="M727" s="189"/>
      <c r="N727" s="733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 hidden="1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IFERROR(__xludf.DUMMYFUNCTION("IMPORTRANGE(""https://docs.google.com/spreadsheets/d/1QqKyyYR6Q21VydFLVH3TRQUabQu_ym0Zz7PgGX0-kHA/edit?usp=sharing"",""แผน!IO17"")"),0)</f>
        <v>0</v>
      </c>
      <c r="J728" s="270">
        <f ca="1">IFERROR(__xludf.DUMMYFUNCTION("IMPORTRANGE(""https://docs.google.com/spreadsheets/d/1XWAQStnk-4SwqDmLtmXYiTMKHgktTP8We1SCoS47DrQ/edit?usp=sharing"",""จัดที่ดิน!BT17"")"),0)</f>
        <v>0</v>
      </c>
      <c r="K728" s="466">
        <f t="shared" ref="K728:K729" ca="1" si="294">IF(I728&gt;0,J728*100/I728,0)</f>
        <v>0</v>
      </c>
      <c r="L728" s="733"/>
      <c r="M728" s="189"/>
      <c r="N728" s="733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 hidden="1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IFERROR(__xludf.DUMMYFUNCTION("IMPORTRANGE(""https://docs.google.com/spreadsheets/d/1QqKyyYR6Q21VydFLVH3TRQUabQu_ym0Zz7PgGX0-kHA/edit?usp=sharing"",""แผน!IP17"")"),0)</f>
        <v>0</v>
      </c>
      <c r="J729" s="648">
        <f>J732+J735</f>
        <v>0</v>
      </c>
      <c r="K729" s="195">
        <f t="shared" ca="1" si="294"/>
        <v>0</v>
      </c>
      <c r="L729" s="466"/>
      <c r="M729" s="189"/>
      <c r="N729" s="733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 hidden="1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0</v>
      </c>
      <c r="K730" s="466"/>
      <c r="L730" s="733"/>
      <c r="M730" s="466"/>
      <c r="N730" s="733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 hidden="1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0</v>
      </c>
      <c r="K731" s="466"/>
      <c r="L731" s="733"/>
      <c r="M731" s="466"/>
      <c r="N731" s="733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 hidden="1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0</v>
      </c>
      <c r="K732" s="466"/>
      <c r="L732" s="733"/>
      <c r="M732" s="466"/>
      <c r="N732" s="733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 hidden="1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0</v>
      </c>
      <c r="K733" s="466"/>
      <c r="L733" s="733"/>
      <c r="M733" s="466"/>
      <c r="N733" s="733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 hidden="1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0</v>
      </c>
      <c r="K734" s="466"/>
      <c r="L734" s="733"/>
      <c r="M734" s="466"/>
      <c r="N734" s="733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 hidden="1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0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5">L738+L739</f>
        <v>0</v>
      </c>
      <c r="M737" s="614">
        <f t="shared" si="295"/>
        <v>0</v>
      </c>
      <c r="N737" s="614">
        <f t="shared" si="295"/>
        <v>0</v>
      </c>
      <c r="O737" s="614">
        <f t="shared" ref="O737:O742" si="296">IF(L737&gt;0,N737*100/L737,0)</f>
        <v>0</v>
      </c>
      <c r="P737" s="614">
        <f t="shared" ref="P737:P742" si="297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8">L741+L748</f>
        <v>0</v>
      </c>
      <c r="M738" s="93">
        <f t="shared" si="298"/>
        <v>0</v>
      </c>
      <c r="N738" s="93">
        <f t="shared" si="298"/>
        <v>0</v>
      </c>
      <c r="O738" s="93">
        <f t="shared" si="296"/>
        <v>0</v>
      </c>
      <c r="P738" s="93">
        <f t="shared" si="297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8"/>
        <v>0</v>
      </c>
      <c r="M739" s="93">
        <f t="shared" si="298"/>
        <v>0</v>
      </c>
      <c r="N739" s="93">
        <f t="shared" si="298"/>
        <v>0</v>
      </c>
      <c r="O739" s="93">
        <f t="shared" si="296"/>
        <v>0</v>
      </c>
      <c r="P739" s="93">
        <f t="shared" si="297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6"/>
      <c r="D740" s="805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9">L741+L742</f>
        <v>0</v>
      </c>
      <c r="M740" s="614">
        <f t="shared" si="299"/>
        <v>0</v>
      </c>
      <c r="N740" s="614">
        <f t="shared" si="299"/>
        <v>0</v>
      </c>
      <c r="O740" s="614">
        <f t="shared" si="296"/>
        <v>0</v>
      </c>
      <c r="P740" s="614">
        <f t="shared" si="297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6"/>
        <v>0</v>
      </c>
      <c r="P741" s="93">
        <f t="shared" si="297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6"/>
        <v>0</v>
      </c>
      <c r="P742" s="93">
        <f t="shared" si="297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6"/>
      <c r="D747" s="805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300">L748+L749</f>
        <v>0</v>
      </c>
      <c r="M747" s="614">
        <f t="shared" si="300"/>
        <v>0</v>
      </c>
      <c r="N747" s="614">
        <f t="shared" si="300"/>
        <v>0</v>
      </c>
      <c r="O747" s="614">
        <f t="shared" ref="O747:O749" si="301">IF(L747&gt;0,N747*100/L747,0)</f>
        <v>0</v>
      </c>
      <c r="P747" s="614">
        <f t="shared" ref="P747:P749" si="302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1"/>
        <v>0</v>
      </c>
      <c r="P748" s="93">
        <f t="shared" si="302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1"/>
        <v>0</v>
      </c>
      <c r="P749" s="93">
        <f t="shared" si="302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3">L755+L756</f>
        <v>0</v>
      </c>
      <c r="M754" s="614">
        <f t="shared" si="303"/>
        <v>0</v>
      </c>
      <c r="N754" s="614">
        <f t="shared" si="303"/>
        <v>0</v>
      </c>
      <c r="O754" s="614">
        <f t="shared" ref="O754:O759" si="304">IF(L754&gt;0,N754*100/L754,0)</f>
        <v>0</v>
      </c>
      <c r="P754" s="614">
        <f t="shared" ref="P754:P759" si="305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6">L758+L765</f>
        <v>0</v>
      </c>
      <c r="M755" s="93">
        <f t="shared" si="306"/>
        <v>0</v>
      </c>
      <c r="N755" s="93">
        <f t="shared" si="306"/>
        <v>0</v>
      </c>
      <c r="O755" s="93">
        <f t="shared" si="304"/>
        <v>0</v>
      </c>
      <c r="P755" s="93">
        <f t="shared" si="305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6"/>
        <v>0</v>
      </c>
      <c r="M756" s="93">
        <f t="shared" si="306"/>
        <v>0</v>
      </c>
      <c r="N756" s="93">
        <f t="shared" si="306"/>
        <v>0</v>
      </c>
      <c r="O756" s="93">
        <f t="shared" si="304"/>
        <v>0</v>
      </c>
      <c r="P756" s="93">
        <f t="shared" si="305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6"/>
      <c r="D757" s="805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7">L758+L759</f>
        <v>0</v>
      </c>
      <c r="M757" s="614">
        <f t="shared" si="307"/>
        <v>0</v>
      </c>
      <c r="N757" s="614">
        <f t="shared" si="307"/>
        <v>0</v>
      </c>
      <c r="O757" s="614">
        <f t="shared" si="304"/>
        <v>0</v>
      </c>
      <c r="P757" s="614">
        <f t="shared" si="305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4"/>
        <v>0</v>
      </c>
      <c r="P758" s="93">
        <f t="shared" si="305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4"/>
        <v>0</v>
      </c>
      <c r="P759" s="93">
        <f t="shared" si="305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6"/>
      <c r="D764" s="805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8">L765+L766</f>
        <v>0</v>
      </c>
      <c r="M764" s="614">
        <f t="shared" si="308"/>
        <v>0</v>
      </c>
      <c r="N764" s="614">
        <f t="shared" si="308"/>
        <v>0</v>
      </c>
      <c r="O764" s="614">
        <f t="shared" ref="O764:O766" si="309">IF(L764&gt;0,N764*100/L764,0)</f>
        <v>0</v>
      </c>
      <c r="P764" s="614">
        <f t="shared" ref="P764:P766" si="310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9"/>
        <v>0</v>
      </c>
      <c r="P765" s="93">
        <f t="shared" si="310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9"/>
        <v>0</v>
      </c>
      <c r="P766" s="93">
        <f t="shared" si="310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1">L771+L772</f>
        <v>0</v>
      </c>
      <c r="M770" s="614">
        <f t="shared" si="311"/>
        <v>0</v>
      </c>
      <c r="N770" s="614">
        <f t="shared" si="311"/>
        <v>0</v>
      </c>
      <c r="O770" s="614">
        <f t="shared" ref="O770:O775" si="312">IF(L770&gt;0,N770*100/L770,0)</f>
        <v>0</v>
      </c>
      <c r="P770" s="614">
        <f t="shared" ref="P770:P775" si="313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4">L774+L781</f>
        <v>0</v>
      </c>
      <c r="M771" s="93">
        <f t="shared" si="314"/>
        <v>0</v>
      </c>
      <c r="N771" s="93">
        <f t="shared" si="314"/>
        <v>0</v>
      </c>
      <c r="O771" s="93">
        <f t="shared" si="312"/>
        <v>0</v>
      </c>
      <c r="P771" s="93">
        <f t="shared" si="313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4"/>
        <v>0</v>
      </c>
      <c r="M772" s="93">
        <f t="shared" si="314"/>
        <v>0</v>
      </c>
      <c r="N772" s="93">
        <f t="shared" si="314"/>
        <v>0</v>
      </c>
      <c r="O772" s="93">
        <f t="shared" si="312"/>
        <v>0</v>
      </c>
      <c r="P772" s="93">
        <f t="shared" si="313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6"/>
      <c r="D773" s="805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5">L774+L775</f>
        <v>0</v>
      </c>
      <c r="M773" s="614">
        <f t="shared" si="315"/>
        <v>0</v>
      </c>
      <c r="N773" s="614">
        <f t="shared" si="315"/>
        <v>0</v>
      </c>
      <c r="O773" s="614">
        <f t="shared" si="312"/>
        <v>0</v>
      </c>
      <c r="P773" s="614">
        <f t="shared" si="313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2"/>
        <v>0</v>
      </c>
      <c r="P774" s="93">
        <f t="shared" si="313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2"/>
        <v>0</v>
      </c>
      <c r="P775" s="93">
        <f t="shared" si="313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6"/>
      <c r="D780" s="805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6">L781+L782</f>
        <v>0</v>
      </c>
      <c r="M780" s="614">
        <f t="shared" si="316"/>
        <v>0</v>
      </c>
      <c r="N780" s="614">
        <f t="shared" si="316"/>
        <v>0</v>
      </c>
      <c r="O780" s="614">
        <f t="shared" ref="O780:O782" si="317">IF(L780&gt;0,N780*100/L780,0)</f>
        <v>0</v>
      </c>
      <c r="P780" s="614">
        <f t="shared" ref="P780:P782" si="318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7"/>
        <v>0</v>
      </c>
      <c r="P781" s="93">
        <f t="shared" si="318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7"/>
        <v>0</v>
      </c>
      <c r="P782" s="93">
        <f t="shared" si="318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 hidden="1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773" t="s">
        <v>46</v>
      </c>
      <c r="I785" s="863">
        <f ca="1">I800</f>
        <v>0</v>
      </c>
      <c r="J785" s="774">
        <f ca="1">J801</f>
        <v>0</v>
      </c>
      <c r="K785" s="775">
        <f ca="1">IF(I785&gt;0,J785*100/I785,0)</f>
        <v>0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 hidden="1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563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6"/>
      <c r="D787" s="687"/>
      <c r="E787" s="726" t="s">
        <v>184</v>
      </c>
      <c r="F787" s="726"/>
      <c r="G787" s="568"/>
      <c r="H787" s="165" t="s">
        <v>12</v>
      </c>
      <c r="I787" s="584"/>
      <c r="J787" s="584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6" t="s">
        <v>185</v>
      </c>
      <c r="F788" s="726"/>
      <c r="G788" s="568"/>
      <c r="H788" s="165" t="s">
        <v>12</v>
      </c>
      <c r="I788" s="584"/>
      <c r="J788" s="584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 hidden="1">
      <c r="A789" s="562"/>
      <c r="B789" s="539"/>
      <c r="C789" s="539"/>
      <c r="D789" s="571" t="s">
        <v>20</v>
      </c>
      <c r="E789" s="730"/>
      <c r="F789" s="730"/>
      <c r="G789" s="189"/>
      <c r="H789" s="779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6" t="s">
        <v>184</v>
      </c>
      <c r="F790" s="726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6" t="s">
        <v>185</v>
      </c>
      <c r="F791" s="726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IFERROR(__xludf.DUMMYFUNCTION("IMPORTRANGE(""https://docs.google.com/spreadsheets/d/1QqKyyYR6Q21VydFLVH3TRQUabQu_ym0Zz7PgGX0-kHA/edit?usp=sharing"",""แผน!JJ17"")"),0)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 hidden="1">
      <c r="A792" s="538"/>
      <c r="B792" s="539"/>
      <c r="C792" s="730"/>
      <c r="D792" s="730"/>
      <c r="E792" s="730"/>
      <c r="F792" s="730" t="s">
        <v>186</v>
      </c>
      <c r="G792" s="189"/>
      <c r="H792" s="779" t="s">
        <v>12</v>
      </c>
      <c r="I792" s="270"/>
      <c r="J792" s="270"/>
      <c r="K792" s="466"/>
      <c r="L792" s="466"/>
      <c r="M792" s="466"/>
      <c r="N792" s="801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 hidden="1">
      <c r="A793" s="538"/>
      <c r="B793" s="539"/>
      <c r="C793" s="730"/>
      <c r="D793" s="730"/>
      <c r="E793" s="730"/>
      <c r="F793" s="730" t="s">
        <v>187</v>
      </c>
      <c r="G793" s="189"/>
      <c r="H793" s="779" t="s">
        <v>12</v>
      </c>
      <c r="I793" s="270"/>
      <c r="J793" s="270"/>
      <c r="K793" s="466"/>
      <c r="L793" s="466"/>
      <c r="M793" s="466"/>
      <c r="N793" s="801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 hidden="1">
      <c r="A794" s="538"/>
      <c r="B794" s="539"/>
      <c r="C794" s="730"/>
      <c r="D794" s="730"/>
      <c r="E794" s="730"/>
      <c r="F794" s="730" t="s">
        <v>188</v>
      </c>
      <c r="G794" s="189"/>
      <c r="H794" s="779" t="s">
        <v>12</v>
      </c>
      <c r="I794" s="270"/>
      <c r="J794" s="270"/>
      <c r="K794" s="466"/>
      <c r="L794" s="466"/>
      <c r="M794" s="466"/>
      <c r="N794" s="801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 hidden="1">
      <c r="A795" s="538"/>
      <c r="B795" s="539"/>
      <c r="C795" s="730"/>
      <c r="D795" s="730"/>
      <c r="E795" s="730"/>
      <c r="F795" s="730" t="s">
        <v>189</v>
      </c>
      <c r="G795" s="189"/>
      <c r="H795" s="779" t="s">
        <v>12</v>
      </c>
      <c r="I795" s="270"/>
      <c r="J795" s="270"/>
      <c r="K795" s="466"/>
      <c r="L795" s="466"/>
      <c r="M795" s="466"/>
      <c r="N795" s="801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 hidden="1">
      <c r="A796" s="562"/>
      <c r="B796" s="539"/>
      <c r="C796" s="730"/>
      <c r="D796" s="571" t="s">
        <v>21</v>
      </c>
      <c r="E796" s="730"/>
      <c r="F796" s="730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6"/>
      <c r="D797" s="726"/>
      <c r="E797" s="726" t="s">
        <v>18</v>
      </c>
      <c r="F797" s="726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6"/>
      <c r="D798" s="726"/>
      <c r="E798" s="726" t="s">
        <v>19</v>
      </c>
      <c r="F798" s="726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 hidden="1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777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 hidden="1">
      <c r="A800" s="573"/>
      <c r="B800" s="585"/>
      <c r="C800" s="585"/>
      <c r="D800" s="585"/>
      <c r="E800" s="593"/>
      <c r="F800" s="593" t="s">
        <v>320</v>
      </c>
      <c r="G800" s="729"/>
      <c r="H800" s="778" t="s">
        <v>34</v>
      </c>
      <c r="I800" s="184">
        <f ca="1">IFERROR(__xludf.DUMMYFUNCTION("IMPORTRANGE(""https://docs.google.com/spreadsheets/d/1QqKyyYR6Q21VydFLVH3TRQUabQu_ym0Zz7PgGX0-kHA/edit?usp=sharing"",""แผน!JN17"")"),0)</f>
        <v>0</v>
      </c>
      <c r="J800" s="184">
        <f ca="1">IFERROR(__xludf.DUMMYFUNCTION("IMPORTRANGE(""https://docs.google.com/spreadsheets/d/1MaWodYyGHDf7siQLGxnXhG4mBNTNIuy296niS2xXulU/edit?usp=sharing"",""RTK!H17"")"),0)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 hidden="1">
      <c r="A801" s="573"/>
      <c r="B801" s="585"/>
      <c r="C801" s="585"/>
      <c r="D801" s="585"/>
      <c r="E801" s="593"/>
      <c r="F801" s="593"/>
      <c r="G801" s="729"/>
      <c r="H801" s="779" t="s">
        <v>46</v>
      </c>
      <c r="I801" s="184"/>
      <c r="J801" s="270">
        <f ca="1">IFERROR(__xludf.DUMMYFUNCTION("IMPORTRANGE(""https://docs.google.com/spreadsheets/d/1MaWodYyGHDf7siQLGxnXhG4mBNTNIuy296niS2xXulU/edit?usp=sharing"",""RTK!I17"")"),0)</f>
        <v>0</v>
      </c>
      <c r="K801" s="466"/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 hidden="1">
      <c r="A802" s="579"/>
      <c r="B802" s="581"/>
      <c r="C802" s="581"/>
      <c r="D802" s="581"/>
      <c r="E802" s="687"/>
      <c r="F802" s="687" t="s">
        <v>321</v>
      </c>
      <c r="G802" s="582"/>
      <c r="H802" s="620" t="s">
        <v>46</v>
      </c>
      <c r="I802" s="166"/>
      <c r="J802" s="584"/>
      <c r="K802" s="167">
        <f>IF(I802&gt;0,J802*100/I802,0)</f>
        <v>0</v>
      </c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 hidden="1">
      <c r="A803" s="579"/>
      <c r="B803" s="581"/>
      <c r="C803" s="581"/>
      <c r="D803" s="581"/>
      <c r="E803" s="687"/>
      <c r="F803" s="687"/>
      <c r="G803" s="582"/>
      <c r="H803" s="620" t="s">
        <v>34</v>
      </c>
      <c r="I803" s="166"/>
      <c r="J803" s="584"/>
      <c r="K803" s="167"/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>IF(I804&gt;0,J804*100/I804,0)</f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7">L806+L807</f>
        <v>0</v>
      </c>
      <c r="M805" s="614">
        <f t="shared" si="327"/>
        <v>0</v>
      </c>
      <c r="N805" s="614">
        <f t="shared" si="327"/>
        <v>0</v>
      </c>
      <c r="O805" s="614">
        <f t="shared" ref="O805:O810" si="328">IF(L805&gt;0,N805*100/L805,0)</f>
        <v>0</v>
      </c>
      <c r="P805" s="614">
        <f t="shared" ref="P805:P810" si="329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1">L809+L810</f>
        <v>0</v>
      </c>
      <c r="M808" s="614">
        <f t="shared" si="331"/>
        <v>0</v>
      </c>
      <c r="N808" s="614">
        <f t="shared" si="331"/>
        <v>0</v>
      </c>
      <c r="O808" s="614">
        <f t="shared" si="328"/>
        <v>0</v>
      </c>
      <c r="P808" s="614">
        <f t="shared" si="329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2">L816+L817</f>
        <v>0</v>
      </c>
      <c r="M815" s="614">
        <f t="shared" si="332"/>
        <v>0</v>
      </c>
      <c r="N815" s="614">
        <f t="shared" si="332"/>
        <v>0</v>
      </c>
      <c r="O815" s="614">
        <f t="shared" ref="O815:O817" si="333">IF(L815&gt;0,N815*100/L815,0)</f>
        <v>0</v>
      </c>
      <c r="P815" s="614">
        <f t="shared" ref="P815:P817" si="334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55" t="s">
        <v>332</v>
      </c>
      <c r="B820" s="856"/>
      <c r="C820" s="856"/>
      <c r="D820" s="857"/>
      <c r="E820" s="856"/>
      <c r="F820" s="856"/>
      <c r="G820" s="858"/>
      <c r="H820" s="8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60"/>
      <c r="J820" s="860"/>
      <c r="K820" s="861"/>
      <c r="L820" s="861"/>
      <c r="M820" s="861"/>
      <c r="N820" s="861"/>
      <c r="O820" s="861"/>
      <c r="P820" s="86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IFERROR(__xludf.DUMMYFUNCTION("IMPORTRANGE(""https://docs.google.com/spreadsheets/d/19vJNZY_5yjcGF2XGBMNZRCAIB0Kwfpjp8YEOfu-bneM/edit?usp=sharing"",""งานกองทุน!D17"")"),2510000)</f>
        <v>2510000</v>
      </c>
      <c r="J821" s="270">
        <f ca="1">IFERROR(__xludf.DUMMYFUNCTION("IMPORTRANGE(""https://docs.google.com/spreadsheets/d/19vJNZY_5yjcGF2XGBMNZRCAIB0Kwfpjp8YEOfu-bneM/edit?usp=sharing"",""งานกองทุน!F17"")"),634925.21)</f>
        <v>634925.21</v>
      </c>
      <c r="K821" s="466">
        <f t="shared" ref="K821:K828" ca="1" si="335">IF(I821&gt;0,J821*100/I821,0)</f>
        <v>25.295825099601593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IFERROR(__xludf.DUMMYFUNCTION("IMPORTRANGE(""https://docs.google.com/spreadsheets/d/19vJNZY_5yjcGF2XGBMNZRCAIB0Kwfpjp8YEOfu-bneM/edit?usp=sharing"",""งานกองทุน!C17"")"),224)</f>
        <v>224</v>
      </c>
      <c r="J822" s="270">
        <f ca="1">IFERROR(__xludf.DUMMYFUNCTION("IMPORTRANGE(""https://docs.google.com/spreadsheets/d/19vJNZY_5yjcGF2XGBMNZRCAIB0Kwfpjp8YEOfu-bneM/edit?usp=sharing"",""งานกองทุน!E17"")"),39)</f>
        <v>39</v>
      </c>
      <c r="K822" s="466">
        <f t="shared" ca="1" si="335"/>
        <v>17.410714285714285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IFERROR(__xludf.DUMMYFUNCTION("IMPORTRANGE(""https://docs.google.com/spreadsheets/d/19vJNZY_5yjcGF2XGBMNZRCAIB0Kwfpjp8YEOfu-bneM/edit?usp=sharing"",""งานกองทุน!I17"")"),8058489.72)</f>
        <v>8058489.7199999997</v>
      </c>
      <c r="J823" s="270">
        <f ca="1">IFERROR(__xludf.DUMMYFUNCTION("IMPORTRANGE(""https://docs.google.com/spreadsheets/d/19vJNZY_5yjcGF2XGBMNZRCAIB0Kwfpjp8YEOfu-bneM/edit?usp=sharing"",""งานกองทุน!K17"")"),369031.5)</f>
        <v>369031.5</v>
      </c>
      <c r="K823" s="466">
        <f t="shared" ca="1" si="335"/>
        <v>4.5794126793277092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IFERROR(__xludf.DUMMYFUNCTION("IMPORTRANGE(""https://docs.google.com/spreadsheets/d/19vJNZY_5yjcGF2XGBMNZRCAIB0Kwfpjp8YEOfu-bneM/edit?usp=sharing"",""งานกองทุน!H17"")"),314)</f>
        <v>314</v>
      </c>
      <c r="J824" s="270">
        <f ca="1">IFERROR(__xludf.DUMMYFUNCTION("IMPORTRANGE(""https://docs.google.com/spreadsheets/d/19vJNZY_5yjcGF2XGBMNZRCAIB0Kwfpjp8YEOfu-bneM/edit?usp=sharing"",""งานกองทุน!J17"")"),115)</f>
        <v>115</v>
      </c>
      <c r="K824" s="466">
        <f t="shared" ca="1" si="335"/>
        <v>36.624203821656053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IFERROR(__xludf.DUMMYFUNCTION("IMPORTRANGE(""https://docs.google.com/spreadsheets/d/19vJNZY_5yjcGF2XGBMNZRCAIB0Kwfpjp8YEOfu-bneM/edit?usp=sharing"",""งานกองทุน!N17"")"),0)</f>
        <v>0</v>
      </c>
      <c r="J825" s="270">
        <f ca="1">IFERROR(__xludf.DUMMYFUNCTION("IMPORTRANGE(""https://docs.google.com/spreadsheets/d/19vJNZY_5yjcGF2XGBMNZRCAIB0Kwfpjp8YEOfu-bneM/edit?usp=sharing"",""งานกองทุน!P17"")"),0)</f>
        <v>0</v>
      </c>
      <c r="K825" s="466">
        <f t="shared" ca="1" si="335"/>
        <v>0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IFERROR(__xludf.DUMMYFUNCTION("IMPORTRANGE(""https://docs.google.com/spreadsheets/d/19vJNZY_5yjcGF2XGBMNZRCAIB0Kwfpjp8YEOfu-bneM/edit?usp=sharing"",""งานกองทุน!M17"")"),0)</f>
        <v>0</v>
      </c>
      <c r="J826" s="270">
        <f ca="1">IFERROR(__xludf.DUMMYFUNCTION("IMPORTRANGE(""https://docs.google.com/spreadsheets/d/19vJNZY_5yjcGF2XGBMNZRCAIB0Kwfpjp8YEOfu-bneM/edit?usp=sharing"",""งานกองทุน!O17"")"),0)</f>
        <v>0</v>
      </c>
      <c r="K826" s="466">
        <f t="shared" ca="1" si="335"/>
        <v>0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IFERROR(__xludf.DUMMYFUNCTION("IMPORTRANGE(""https://docs.google.com/spreadsheets/d/19vJNZY_5yjcGF2XGBMNZRCAIB0Kwfpjp8YEOfu-bneM/edit?usp=sharing"",""งานกองทุน!S17"")"),2900000)</f>
        <v>2900000</v>
      </c>
      <c r="J827" s="270">
        <f ca="1">IFERROR(__xludf.DUMMYFUNCTION("IMPORTRANGE(""https://docs.google.com/spreadsheets/d/19vJNZY_5yjcGF2XGBMNZRCAIB0Kwfpjp8YEOfu-bneM/edit?usp=sharing"",""งานกองทุน!U17"")"),0)</f>
        <v>0</v>
      </c>
      <c r="K827" s="466">
        <f t="shared" ca="1" si="335"/>
        <v>0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IFERROR(__xludf.DUMMYFUNCTION("IMPORTRANGE(""https://docs.google.com/spreadsheets/d/19vJNZY_5yjcGF2XGBMNZRCAIB0Kwfpjp8YEOfu-bneM/edit?usp=sharing"",""งานกองทุน!R17"")"),116)</f>
        <v>116</v>
      </c>
      <c r="J828" s="469">
        <f ca="1">IFERROR(__xludf.DUMMYFUNCTION("IMPORTRANGE(""https://docs.google.com/spreadsheets/d/19vJNZY_5yjcGF2XGBMNZRCAIB0Kwfpjp8YEOfu-bneM/edit?usp=sharing"",""งานกองทุน!T17"")"),0)</f>
        <v>0</v>
      </c>
      <c r="K828" s="470">
        <f t="shared" ca="1" si="335"/>
        <v>0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BFC02-BFC5-4ACF-9DC8-404F65C89C1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4" customWidth="1"/>
    <col min="4" max="6" width="5.85546875" style="804" customWidth="1"/>
    <col min="7" max="7" width="56.42578125" style="804" customWidth="1"/>
    <col min="8" max="8" width="9.42578125" style="804" customWidth="1"/>
    <col min="9" max="9" width="18.7109375" style="804" bestFit="1" customWidth="1"/>
    <col min="10" max="10" width="16.85546875" style="804" bestFit="1" customWidth="1"/>
    <col min="11" max="11" width="12.5703125" style="804" customWidth="1"/>
    <col min="12" max="13" width="20.28515625" style="804" bestFit="1" customWidth="1"/>
    <col min="14" max="14" width="21.28515625" style="804" bestFit="1" customWidth="1"/>
    <col min="15" max="16" width="17.5703125" style="804" customWidth="1"/>
    <col min="17" max="16384" width="12.5703125" style="804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337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7819267</v>
      </c>
      <c r="M8" s="22">
        <f t="shared" ca="1" si="0"/>
        <v>3533450.7199999997</v>
      </c>
      <c r="N8" s="22">
        <f t="shared" ca="1" si="0"/>
        <v>2378850.5</v>
      </c>
      <c r="O8" s="22">
        <f t="shared" ref="O8:O16" ca="1" si="1">IF(L8&gt;0,N8*100/L8,0)</f>
        <v>30.4229347840405</v>
      </c>
      <c r="P8" s="22">
        <f t="shared" ref="P8:P16" ca="1" si="2">IF(M8&gt;0,N8*100/M8,0)</f>
        <v>67.323720875326089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7819267</v>
      </c>
      <c r="M10" s="30">
        <f t="shared" ca="1" si="3"/>
        <v>3533450.7199999997</v>
      </c>
      <c r="N10" s="30">
        <f t="shared" ca="1" si="3"/>
        <v>2378850.5</v>
      </c>
      <c r="O10" s="30">
        <f t="shared" ca="1" si="1"/>
        <v>30.4229347840405</v>
      </c>
      <c r="P10" s="30">
        <f t="shared" ca="1" si="2"/>
        <v>67.323720875326089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7545267</v>
      </c>
      <c r="M11" s="466">
        <f t="shared" ca="1" si="4"/>
        <v>3273250.7199999997</v>
      </c>
      <c r="N11" s="466">
        <f t="shared" ca="1" si="4"/>
        <v>2118650.5</v>
      </c>
      <c r="O11" s="466">
        <f t="shared" ca="1" si="1"/>
        <v>28.079198522729548</v>
      </c>
      <c r="P11" s="466">
        <f t="shared" ca="1" si="2"/>
        <v>64.726190604794255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7545267</v>
      </c>
      <c r="M13" s="93">
        <f t="shared" ca="1" si="5"/>
        <v>3273250.7199999997</v>
      </c>
      <c r="N13" s="93">
        <f t="shared" ca="1" si="5"/>
        <v>2118650.5</v>
      </c>
      <c r="O13" s="93">
        <f t="shared" ca="1" si="1"/>
        <v>28.079198522729548</v>
      </c>
      <c r="P13" s="93">
        <f t="shared" ca="1" si="2"/>
        <v>64.726190604794255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274000</v>
      </c>
      <c r="M14" s="466">
        <f t="shared" ca="1" si="6"/>
        <v>260200</v>
      </c>
      <c r="N14" s="466">
        <f t="shared" ca="1" si="6"/>
        <v>260200</v>
      </c>
      <c r="O14" s="466">
        <f t="shared" ca="1" si="1"/>
        <v>94.96350364963503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274000</v>
      </c>
      <c r="M16" s="52">
        <f t="shared" ca="1" si="7"/>
        <v>260200</v>
      </c>
      <c r="N16" s="52">
        <f t="shared" ca="1" si="7"/>
        <v>260200</v>
      </c>
      <c r="O16" s="52">
        <f t="shared" ca="1" si="1"/>
        <v>94.96350364963503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4469706</v>
      </c>
      <c r="M18" s="22">
        <f t="shared" ca="1" si="8"/>
        <v>3533450.7199999997</v>
      </c>
      <c r="N18" s="22">
        <f t="shared" ca="1" si="8"/>
        <v>1783452.8</v>
      </c>
      <c r="O18" s="22">
        <f t="shared" ref="O18:O26" ca="1" si="9">IF(L18&gt;0,N18*100/L18,0)</f>
        <v>39.900897284966838</v>
      </c>
      <c r="P18" s="22">
        <f t="shared" ref="P18:P26" ca="1" si="10">IF(M18&gt;0,N18*100/M18,0)</f>
        <v>50.473402385529809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4469706</v>
      </c>
      <c r="M20" s="30">
        <f t="shared" ca="1" si="11"/>
        <v>3533450.7199999997</v>
      </c>
      <c r="N20" s="30">
        <f t="shared" ca="1" si="11"/>
        <v>1783452.8</v>
      </c>
      <c r="O20" s="30">
        <f t="shared" ca="1" si="9"/>
        <v>39.900897284966838</v>
      </c>
      <c r="P20" s="30">
        <f t="shared" ca="1" si="10"/>
        <v>50.473402385529809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4195706</v>
      </c>
      <c r="M21" s="466">
        <f t="shared" ca="1" si="12"/>
        <v>3273250.7199999997</v>
      </c>
      <c r="N21" s="466">
        <f t="shared" ca="1" si="12"/>
        <v>1523252.8</v>
      </c>
      <c r="O21" s="466">
        <f t="shared" ca="1" si="9"/>
        <v>36.305041392318721</v>
      </c>
      <c r="P21" s="466">
        <f t="shared" ca="1" si="10"/>
        <v>46.536392421537457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4195706</v>
      </c>
      <c r="M23" s="93">
        <f t="shared" ca="1" si="13"/>
        <v>3273250.7199999997</v>
      </c>
      <c r="N23" s="93">
        <f t="shared" ca="1" si="13"/>
        <v>1523252.8</v>
      </c>
      <c r="O23" s="93">
        <f t="shared" ca="1" si="9"/>
        <v>36.305041392318721</v>
      </c>
      <c r="P23" s="93">
        <f t="shared" ca="1" si="10"/>
        <v>46.536392421537457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274000</v>
      </c>
      <c r="M24" s="466">
        <f t="shared" ca="1" si="14"/>
        <v>260200</v>
      </c>
      <c r="N24" s="466">
        <f t="shared" ca="1" si="14"/>
        <v>260200</v>
      </c>
      <c r="O24" s="466">
        <f t="shared" ca="1" si="9"/>
        <v>94.96350364963503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274000</v>
      </c>
      <c r="M26" s="52">
        <f t="shared" ca="1" si="15"/>
        <v>260200</v>
      </c>
      <c r="N26" s="52">
        <f t="shared" ca="1" si="15"/>
        <v>260200</v>
      </c>
      <c r="O26" s="52">
        <f t="shared" ca="1" si="9"/>
        <v>94.96350364963503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3349561</v>
      </c>
      <c r="M28" s="22">
        <f t="shared" si="16"/>
        <v>0</v>
      </c>
      <c r="N28" s="22">
        <f t="shared" si="16"/>
        <v>595397.69999999995</v>
      </c>
      <c r="O28" s="22">
        <f t="shared" ref="O28:O37" ca="1" si="17">IF(L28&gt;0,N28*100/L28,0)</f>
        <v>17.775395044305803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3349561</v>
      </c>
      <c r="M30" s="30">
        <f t="shared" si="19"/>
        <v>0</v>
      </c>
      <c r="N30" s="30">
        <f t="shared" si="19"/>
        <v>595397.69999999995</v>
      </c>
      <c r="O30" s="30">
        <f t="shared" ca="1" si="17"/>
        <v>17.775395044305803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3349561</v>
      </c>
      <c r="M31" s="466">
        <f t="shared" si="20"/>
        <v>0</v>
      </c>
      <c r="N31" s="466">
        <f t="shared" si="20"/>
        <v>595397.69999999995</v>
      </c>
      <c r="O31" s="466">
        <f t="shared" ca="1" si="17"/>
        <v>17.775395044305803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3349561</v>
      </c>
      <c r="M33" s="93">
        <f t="shared" si="21"/>
        <v>0</v>
      </c>
      <c r="N33" s="93">
        <f t="shared" si="21"/>
        <v>595397.69999999995</v>
      </c>
      <c r="O33" s="93">
        <f t="shared" ca="1" si="17"/>
        <v>17.775395044305803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4469706</v>
      </c>
      <c r="M37" s="812">
        <f t="shared" ca="1" si="24"/>
        <v>3533450.7199999997</v>
      </c>
      <c r="N37" s="812">
        <f t="shared" ca="1" si="24"/>
        <v>1783452.8</v>
      </c>
      <c r="O37" s="812">
        <f t="shared" ca="1" si="17"/>
        <v>39.900897284966838</v>
      </c>
      <c r="P37" s="812">
        <f t="shared" ca="1" si="18"/>
        <v>50.473402385529809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563696</v>
      </c>
      <c r="M41" s="85">
        <f t="shared" ca="1" si="25"/>
        <v>576830.71999999997</v>
      </c>
      <c r="N41" s="85">
        <f t="shared" ca="1" si="25"/>
        <v>285279</v>
      </c>
      <c r="O41" s="85">
        <f t="shared" ref="O41:O49" ca="1" si="26">IF(L41&gt;0,N41*100/L41,0)</f>
        <v>50.608661406147995</v>
      </c>
      <c r="P41" s="85">
        <f t="shared" ref="P41:P49" ca="1" si="27">IF(M41&gt;0,N41*100/M41,0)</f>
        <v>49.456277224624934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563696</v>
      </c>
      <c r="M43" s="92">
        <f t="shared" ca="1" si="28"/>
        <v>576830.71999999997</v>
      </c>
      <c r="N43" s="92">
        <f t="shared" ca="1" si="28"/>
        <v>285279</v>
      </c>
      <c r="O43" s="92">
        <f t="shared" ca="1" si="26"/>
        <v>50.608661406147995</v>
      </c>
      <c r="P43" s="92">
        <f t="shared" ca="1" si="27"/>
        <v>49.456277224624934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563696</v>
      </c>
      <c r="M44" s="466">
        <f t="shared" ca="1" si="29"/>
        <v>576830.71999999997</v>
      </c>
      <c r="N44" s="466">
        <f t="shared" ca="1" si="29"/>
        <v>285279</v>
      </c>
      <c r="O44" s="466">
        <f t="shared" ca="1" si="26"/>
        <v>50.608661406147995</v>
      </c>
      <c r="P44" s="466">
        <f t="shared" ca="1" si="27"/>
        <v>49.456277224624934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IFERROR(__xludf.DUMMYFUNCTION("IMPORTRANGE(""https://docs.google.com/spreadsheets/d/1MeEWN-I1oV_STSDYn1IFDPWt_1FKiwhDph83XaGc0o0/edit?usp=sharing"",""งบพรบ!M18"")"),563696)</f>
        <v>563696</v>
      </c>
      <c r="M46" s="93">
        <f ca="1">IFERROR(__xludf.DUMMYFUNCTION("IMPORTRANGE(""https://docs.google.com/spreadsheets/d/1MeEWN-I1oV_STSDYn1IFDPWt_1FKiwhDph83XaGc0o0/edit?usp=sharing"",""งบพรบ!R18"")"),576830.72)</f>
        <v>576830.71999999997</v>
      </c>
      <c r="N46" s="93">
        <f ca="1">IFERROR(__xludf.DUMMYFUNCTION("IMPORTRANGE(""https://docs.google.com/spreadsheets/d/1MeEWN-I1oV_STSDYn1IFDPWt_1FKiwhDph83XaGc0o0/edit?usp=sharing"",""งบพรบ!T18"")"),285279)</f>
        <v>285279</v>
      </c>
      <c r="O46" s="93">
        <f t="shared" ca="1" si="26"/>
        <v>50.608661406147995</v>
      </c>
      <c r="P46" s="93">
        <f t="shared" ca="1" si="27"/>
        <v>49.456277224624934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IFERROR(__xludf.DUMMYFUNCTION("IMPORTRANGE(""https://docs.google.com/spreadsheets/d/1MeEWN-I1oV_STSDYn1IFDPWt_1FKiwhDph83XaGc0o0/edit?usp=sharing"",""งบพรบ!P18"")"),0)</f>
        <v>0</v>
      </c>
      <c r="M49" s="52">
        <f ca="1">IFERROR(__xludf.DUMMYFUNCTION("IMPORTRANGE(""https://docs.google.com/spreadsheets/d/1MeEWN-I1oV_STSDYn1IFDPWt_1FKiwhDph83XaGc0o0/edit?usp=sharing"",""งบพรบ!S18"")"),0)</f>
        <v>0</v>
      </c>
      <c r="N49" s="52">
        <f ca="1">IFERROR(__xludf.DUMMYFUNCTION("IMPORTRANGE(""https://docs.google.com/spreadsheets/d/1MeEWN-I1oV_STSDYn1IFDPWt_1FKiwhDph83XaGc0o0/edit?usp=sharing"",""งบพรบ!U18"")"),0)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952700</v>
      </c>
      <c r="M53" s="116">
        <f t="shared" ca="1" si="31"/>
        <v>714525</v>
      </c>
      <c r="N53" s="116">
        <f t="shared" ca="1" si="31"/>
        <v>454244.46</v>
      </c>
      <c r="O53" s="116">
        <f t="shared" ref="O53:O61" ca="1" si="32">IF(L53&gt;0,N53*100/L53,0)</f>
        <v>47.679695601973336</v>
      </c>
      <c r="P53" s="116">
        <f t="shared" ref="P53:P61" ca="1" si="33">IF(M53&gt;0,N53*100/M53,0)</f>
        <v>63.572927469297788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952700</v>
      </c>
      <c r="M55" s="123">
        <f t="shared" ca="1" si="34"/>
        <v>714525</v>
      </c>
      <c r="N55" s="123">
        <f t="shared" ca="1" si="34"/>
        <v>454244.46</v>
      </c>
      <c r="O55" s="123">
        <f t="shared" ca="1" si="32"/>
        <v>47.679695601973336</v>
      </c>
      <c r="P55" s="123">
        <f t="shared" ca="1" si="33"/>
        <v>63.572927469297788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952700</v>
      </c>
      <c r="M56" s="466">
        <f t="shared" ca="1" si="35"/>
        <v>714525</v>
      </c>
      <c r="N56" s="466">
        <f t="shared" ca="1" si="35"/>
        <v>454244.46</v>
      </c>
      <c r="O56" s="466">
        <f t="shared" ca="1" si="32"/>
        <v>47.679695601973336</v>
      </c>
      <c r="P56" s="466">
        <f t="shared" ca="1" si="33"/>
        <v>63.572927469297788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IFERROR(__xludf.DUMMYFUNCTION("IMPORTRANGE(""https://docs.google.com/spreadsheets/d/1MeEWN-I1oV_STSDYn1IFDPWt_1FKiwhDph83XaGc0o0/edit?usp=sharing"",""งบพรบ!W18"")"),952700)</f>
        <v>952700</v>
      </c>
      <c r="M58" s="93">
        <f ca="1">IFERROR(__xludf.DUMMYFUNCTION("IMPORTRANGE(""https://docs.google.com/spreadsheets/d/1MeEWN-I1oV_STSDYn1IFDPWt_1FKiwhDph83XaGc0o0/edit?usp=sharing"",""งบพรบ!AB18"")"),714525)</f>
        <v>714525</v>
      </c>
      <c r="N58" s="93">
        <f ca="1">IFERROR(__xludf.DUMMYFUNCTION("IMPORTRANGE(""https://docs.google.com/spreadsheets/d/1MeEWN-I1oV_STSDYn1IFDPWt_1FKiwhDph83XaGc0o0/edit?usp=sharing"",""งบพรบ!AD18"")"),454244.46)</f>
        <v>454244.46</v>
      </c>
      <c r="O58" s="93">
        <f t="shared" ca="1" si="32"/>
        <v>47.679695601973336</v>
      </c>
      <c r="P58" s="93">
        <f t="shared" ca="1" si="33"/>
        <v>63.572927469297788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IFERROR(__xludf.DUMMYFUNCTION("IMPORTRANGE(""https://docs.google.com/spreadsheets/d/1MeEWN-I1oV_STSDYn1IFDPWt_1FKiwhDph83XaGc0o0/edit?usp=sharing"",""งบพรบ!Z18"")"),0)</f>
        <v>0</v>
      </c>
      <c r="M61" s="52">
        <f ca="1">IFERROR(__xludf.DUMMYFUNCTION("IMPORTRANGE(""https://docs.google.com/spreadsheets/d/1MeEWN-I1oV_STSDYn1IFDPWt_1FKiwhDph83XaGc0o0/edit?usp=sharing"",""งบพรบ!AC18"")"),0)</f>
        <v>0</v>
      </c>
      <c r="N61" s="52">
        <f ca="1">IFERROR(__xludf.DUMMYFUNCTION("IMPORTRANGE(""https://docs.google.com/spreadsheets/d/1MeEWN-I1oV_STSDYn1IFDPWt_1FKiwhDph83XaGc0o0/edit?usp=sharing"",""งบพรบ!AE18"")"),0)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31</v>
      </c>
      <c r="K65" s="145">
        <f t="shared" ca="1" si="38"/>
        <v>77.5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1039000</v>
      </c>
      <c r="M66" s="155">
        <f t="shared" ca="1" si="39"/>
        <v>759000</v>
      </c>
      <c r="N66" s="155">
        <f t="shared" ca="1" si="39"/>
        <v>300442.03999999998</v>
      </c>
      <c r="O66" s="155">
        <f t="shared" ref="O66:O74" ca="1" si="40">IF(L66&gt;0,N66*100/L66,0)</f>
        <v>28.916461982675646</v>
      </c>
      <c r="P66" s="155">
        <f t="shared" ref="P66:P74" ca="1" si="41">IF(M66&gt;0,N66*100/M66,0)</f>
        <v>39.583931488801049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1039000</v>
      </c>
      <c r="M68" s="93">
        <f t="shared" ca="1" si="42"/>
        <v>759000</v>
      </c>
      <c r="N68" s="93">
        <f t="shared" ca="1" si="42"/>
        <v>300442.03999999998</v>
      </c>
      <c r="O68" s="93">
        <f t="shared" ca="1" si="40"/>
        <v>28.916461982675646</v>
      </c>
      <c r="P68" s="93">
        <f t="shared" ca="1" si="41"/>
        <v>39.583931488801049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1039000</v>
      </c>
      <c r="M69" s="466">
        <f t="shared" ca="1" si="43"/>
        <v>759000</v>
      </c>
      <c r="N69" s="466">
        <f t="shared" ca="1" si="43"/>
        <v>300442.03999999998</v>
      </c>
      <c r="O69" s="466">
        <f t="shared" ca="1" si="40"/>
        <v>28.916461982675646</v>
      </c>
      <c r="P69" s="466">
        <f t="shared" ca="1" si="41"/>
        <v>39.583931488801049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IFERROR(__xludf.DUMMYFUNCTION("IMPORTRANGE(""https://docs.google.com/spreadsheets/d/1MeEWN-I1oV_STSDYn1IFDPWt_1FKiwhDph83XaGc0o0/edit?usp=sharing"",""งบพรบ!AG18"")"),1039000)</f>
        <v>1039000</v>
      </c>
      <c r="M71" s="93">
        <f ca="1">IFERROR(__xludf.DUMMYFUNCTION("IMPORTRANGE(""https://docs.google.com/spreadsheets/d/1MeEWN-I1oV_STSDYn1IFDPWt_1FKiwhDph83XaGc0o0/edit?usp=sharing"",""งบพรบ!AL18"")"),759000)</f>
        <v>759000</v>
      </c>
      <c r="N71" s="93">
        <f ca="1">IFERROR(__xludf.DUMMYFUNCTION("IMPORTRANGE(""https://docs.google.com/spreadsheets/d/1MeEWN-I1oV_STSDYn1IFDPWt_1FKiwhDph83XaGc0o0/edit?usp=sharing"",""งบพรบ!AN18"")"),300442.04)</f>
        <v>300442.03999999998</v>
      </c>
      <c r="O71" s="93">
        <f t="shared" ca="1" si="40"/>
        <v>28.916461982675646</v>
      </c>
      <c r="P71" s="93">
        <f t="shared" ca="1" si="41"/>
        <v>39.583931488801049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IFERROR(__xludf.DUMMYFUNCTION("IMPORTRANGE(""https://docs.google.com/spreadsheets/d/1MeEWN-I1oV_STSDYn1IFDPWt_1FKiwhDph83XaGc0o0/edit?usp=sharing"",""งบพรบ!AJ18"")"),0)</f>
        <v>0</v>
      </c>
      <c r="M74" s="93">
        <f ca="1">IFERROR(__xludf.DUMMYFUNCTION("IMPORTRANGE(""https://docs.google.com/spreadsheets/d/1MeEWN-I1oV_STSDYn1IFDPWt_1FKiwhDph83XaGc0o0/edit?usp=sharing"",""งบพรบ!AM18"")"),0)</f>
        <v>0</v>
      </c>
      <c r="N74" s="93">
        <f ca="1">IFERROR(__xludf.DUMMYFUNCTION("IMPORTRANGE(""https://docs.google.com/spreadsheets/d/1MeEWN-I1oV_STSDYn1IFDPWt_1FKiwhDph83XaGc0o0/edit?usp=sharing"",""งบพรบ!AO18"")"),0)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40</v>
      </c>
      <c r="J77" s="270">
        <f t="shared" si="45"/>
        <v>31</v>
      </c>
      <c r="K77" s="163">
        <f t="shared" ca="1" si="46"/>
        <v>77.5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IFERROR(__xludf.DUMMYFUNCTION("IMPORTRANGE(""https://docs.google.com/spreadsheets/d/1QqKyyYR6Q21VydFLVH3TRQUabQu_ym0Zz7PgGX0-kHA/edit?usp=sharing"",""แผน!H18"")"),0)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IFERROR(__xludf.DUMMYFUNCTION("IMPORTRANGE(""https://docs.google.com/spreadsheets/d/1QqKyyYR6Q21VydFLVH3TRQUabQu_ym0Zz7PgGX0-kHA/edit?usp=sharing"",""แผน!I18"")"),0)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IFERROR(__xludf.DUMMYFUNCTION("IMPORTRANGE(""https://docs.google.com/spreadsheets/d/1QqKyyYR6Q21VydFLVH3TRQUabQu_ym0Zz7PgGX0-kHA/edit?usp=sharing"",""แผน!F18"")"),0)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IFERROR(__xludf.DUMMYFUNCTION("IMPORTRANGE(""https://docs.google.com/spreadsheets/d/1QqKyyYR6Q21VydFLVH3TRQUabQu_ym0Zz7PgGX0-kHA/edit?usp=sharing"",""แผน!G18"")"),0)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IFERROR(__xludf.DUMMYFUNCTION("IMPORTRANGE(""https://docs.google.com/spreadsheets/d/1QqKyyYR6Q21VydFLVH3TRQUabQu_ym0Zz7PgGX0-kHA/edit?usp=sharing"",""แผน!D18"")"),1)</f>
        <v>1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IFERROR(__xludf.DUMMYFUNCTION("IMPORTRANGE(""https://docs.google.com/spreadsheets/d/1QqKyyYR6Q21VydFLVH3TRQUabQu_ym0Zz7PgGX0-kHA/edit?usp=sharing"",""แผน!E18"")"),40)</f>
        <v>40</v>
      </c>
      <c r="J83" s="215">
        <v>31</v>
      </c>
      <c r="K83" s="163">
        <f t="shared" ca="1" si="46"/>
        <v>77.5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IFERROR(__xludf.DUMMYFUNCTION("IMPORTRANGE(""https://docs.google.com/spreadsheets/d/1QqKyyYR6Q21VydFLVH3TRQUabQu_ym0Zz7PgGX0-kHA/edit?usp=sharing"",""แผน!J18"")"),1)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19579</v>
      </c>
      <c r="O88" s="155">
        <f t="shared" ref="O88:O96" ca="1" si="50">IF(L88&gt;0,N88*100/L88,0)</f>
        <v>22.755695025569501</v>
      </c>
      <c r="P88" s="155">
        <f t="shared" ref="P88:P96" ca="1" si="51">IF(M88&gt;0,N88*100/M88,0)</f>
        <v>24.677338038820267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19579</v>
      </c>
      <c r="O90" s="93">
        <f t="shared" ca="1" si="50"/>
        <v>22.755695025569501</v>
      </c>
      <c r="P90" s="93">
        <f t="shared" ca="1" si="51"/>
        <v>24.677338038820267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79340</v>
      </c>
      <c r="N91" s="466">
        <f t="shared" ca="1" si="53"/>
        <v>19579</v>
      </c>
      <c r="O91" s="466">
        <f t="shared" ca="1" si="50"/>
        <v>22.755695025569501</v>
      </c>
      <c r="P91" s="466">
        <f t="shared" ca="1" si="51"/>
        <v>24.677338038820267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IFERROR(__xludf.DUMMYFUNCTION("IMPORTRANGE(""https://docs.google.com/spreadsheets/d/1MeEWN-I1oV_STSDYn1IFDPWt_1FKiwhDph83XaGc0o0/edit?usp=sharing"",""งบพรบ!AQ18"")"),86040)</f>
        <v>86040</v>
      </c>
      <c r="M93" s="93">
        <f ca="1">IFERROR(__xludf.DUMMYFUNCTION("IMPORTRANGE(""https://docs.google.com/spreadsheets/d/1MeEWN-I1oV_STSDYn1IFDPWt_1FKiwhDph83XaGc0o0/edit?usp=sharing"",""งบพรบ!AV18"")"),79340)</f>
        <v>79340</v>
      </c>
      <c r="N93" s="93">
        <f ca="1">IFERROR(__xludf.DUMMYFUNCTION("IMPORTRANGE(""https://docs.google.com/spreadsheets/d/1MeEWN-I1oV_STSDYn1IFDPWt_1FKiwhDph83XaGc0o0/edit?usp=sharing"",""งบพรบ!AX18"")"),19579)</f>
        <v>19579</v>
      </c>
      <c r="O93" s="93">
        <f t="shared" ca="1" si="50"/>
        <v>22.755695025569501</v>
      </c>
      <c r="P93" s="93">
        <f t="shared" ca="1" si="51"/>
        <v>24.677338038820267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IFERROR(__xludf.DUMMYFUNCTION("IMPORTRANGE(""https://docs.google.com/spreadsheets/d/1MeEWN-I1oV_STSDYn1IFDPWt_1FKiwhDph83XaGc0o0/edit?usp=sharing"",""งบพรบ!AT18"")"),0)</f>
        <v>0</v>
      </c>
      <c r="M96" s="93">
        <f ca="1">IFERROR(__xludf.DUMMYFUNCTION("IMPORTRANGE(""https://docs.google.com/spreadsheets/d/1MeEWN-I1oV_STSDYn1IFDPWt_1FKiwhDph83XaGc0o0/edit?usp=sharing"",""งบพรบ!AW18"")"),0)</f>
        <v>0</v>
      </c>
      <c r="N96" s="93">
        <f ca="1">IFERROR(__xludf.DUMMYFUNCTION("IMPORTRANGE(""https://docs.google.com/spreadsheets/d/1MeEWN-I1oV_STSDYn1IFDPWt_1FKiwhDph83XaGc0o0/edit?usp=sharing"",""งบพรบ!AY18"")"),0)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IFERROR(__xludf.DUMMYFUNCTION("IMPORTRANGE(""https://docs.google.com/spreadsheets/d/1QqKyyYR6Q21VydFLVH3TRQUabQu_ym0Zz7PgGX0-kHA/edit?usp=sharing"",""แผน!K18"")"),30)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IFERROR(__xludf.DUMMYFUNCTION("IMPORTRANGE(""https://docs.google.com/spreadsheets/d/1QqKyyYR6Q21VydFLVH3TRQUabQu_ym0Zz7PgGX0-kHA/edit?usp=sharing"",""แผน!L18"")"),10)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IFERROR(__xludf.DUMMYFUNCTION("IMPORTRANGE(""https://docs.google.com/spreadsheets/d/1QqKyyYR6Q21VydFLVH3TRQUabQu_ym0Zz7PgGX0-kHA/edit?usp=sharing"",""แผน!M18"")"),2)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IFERROR(__xludf.DUMMYFUNCTION("IMPORTRANGE(""https://docs.google.com/spreadsheets/d/1QqKyyYR6Q21VydFLVH3TRQUabQu_ym0Zz7PgGX0-kHA/edit?usp=sharing"",""แผน!N18"")"),30)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IFERROR(__xludf.DUMMYFUNCTION("IMPORTRANGE(""https://docs.google.com/spreadsheets/d/1QqKyyYR6Q21VydFLVH3TRQUabQu_ym0Zz7PgGX0-kHA/edit?usp=sharing"",""แผน!O18"")"),10)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IFERROR(__xludf.DUMMYFUNCTION("IMPORTRANGE(""https://docs.google.com/spreadsheets/d/1QqKyyYR6Q21VydFLVH3TRQUabQu_ym0Zz7PgGX0-kHA/edit?usp=sharing"",""แผน!O18"")"),10)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IFERROR(__xludf.DUMMYFUNCTION("IMPORTRANGE(""https://docs.google.com/spreadsheets/d/1QqKyyYR6Q21VydFLVH3TRQUabQu_ym0Zz7PgGX0-kHA/edit?usp=sharing"",""แผน!P18"")"),1)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IFERROR(__xludf.DUMMYFUNCTION("IMPORTRANGE(""https://docs.google.com/spreadsheets/d/1QqKyyYR6Q21VydFLVH3TRQUabQu_ym0Zz7PgGX0-kHA/edit?usp=sharing"",""แผน!P18"")"),1)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IFERROR(__xludf.DUMMYFUNCTION("IMPORTRANGE(""https://docs.google.com/spreadsheets/d/1QqKyyYR6Q21VydFLVH3TRQUabQu_ym0Zz7PgGX0-kHA/edit?usp=sharing"",""แผน!Q18"")"),1)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IFERROR(__xludf.DUMMYFUNCTION("IMPORTRANGE(""https://docs.google.com/spreadsheets/d/1QqKyyYR6Q21VydFLVH3TRQUabQu_ym0Zz7PgGX0-kHA/edit?usp=sharing"",""แผน!Q18"")"),1)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IFERROR(__xludf.DUMMYFUNCTION("IMPORTRANGE(""https://docs.google.com/spreadsheets/d/1QqKyyYR6Q21VydFLVH3TRQUabQu_ym0Zz7PgGX0-kHA/edit?usp=sharing"",""แผน!R18"")"),10)</f>
        <v>10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IFERROR(__xludf.DUMMYFUNCTION("IMPORTRANGE(""https://docs.google.com/spreadsheets/d/1QqKyyYR6Q21VydFLVH3TRQUabQu_ym0Zz7PgGX0-kHA/edit?usp=sharing"",""แผน!R18"")"),10)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IFERROR(__xludf.DUMMYFUNCTION("IMPORTRANGE(""https://docs.google.com/spreadsheets/d/1QqKyyYR6Q21VydFLVH3TRQUabQu_ym0Zz7PgGX0-kHA/edit?usp=sharing"",""แผน!R18"")"),10)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IFERROR(__xludf.DUMMYFUNCTION("IMPORTRANGE(""https://docs.google.com/spreadsheets/d/1QqKyyYR6Q21VydFLVH3TRQUabQu_ym0Zz7PgGX0-kHA/edit?usp=sharing"",""แผน!S18"")"),1)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IFERROR(__xludf.DUMMYFUNCTION("IMPORTRANGE(""https://docs.google.com/spreadsheets/d/1QqKyyYR6Q21VydFLVH3TRQUabQu_ym0Zz7PgGX0-kHA/edit?usp=sharing"",""แผน!T18"")"),1)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IFERROR(__xludf.DUMMYFUNCTION("IMPORTRANGE(""https://docs.google.com/spreadsheets/d/1MeEWN-I1oV_STSDYn1IFDPWt_1FKiwhDph83XaGc0o0/edit?usp=sharing"",""งบพรบ!BA18"")"),0)</f>
        <v>0</v>
      </c>
      <c r="M124" s="93">
        <f ca="1">IFERROR(__xludf.DUMMYFUNCTION("IMPORTRANGE(""https://docs.google.com/spreadsheets/d/1MeEWN-I1oV_STSDYn1IFDPWt_1FKiwhDph83XaGc0o0/edit?usp=sharing"",""งบพรบ!BF18"")"),0)</f>
        <v>0</v>
      </c>
      <c r="N124" s="93">
        <f ca="1">IFERROR(__xludf.DUMMYFUNCTION("IMPORTRANGE(""https://docs.google.com/spreadsheets/d/1MeEWN-I1oV_STSDYn1IFDPWt_1FKiwhDph83XaGc0o0/edit?usp=sharing"",""งบพรบ!BH18"")"),0)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IFERROR(__xludf.DUMMYFUNCTION("IMPORTRANGE(""https://docs.google.com/spreadsheets/d/1MeEWN-I1oV_STSDYn1IFDPWt_1FKiwhDph83XaGc0o0/edit?usp=sharing"",""งบพรบ!BD18"")"),0)</f>
        <v>0</v>
      </c>
      <c r="M127" s="93">
        <f ca="1">IFERROR(__xludf.DUMMYFUNCTION("IMPORTRANGE(""https://docs.google.com/spreadsheets/d/1MeEWN-I1oV_STSDYn1IFDPWt_1FKiwhDph83XaGc0o0/edit?usp=sharing"",""งบพรบ!BG18"")"),0)</f>
        <v>0</v>
      </c>
      <c r="N127" s="93">
        <f ca="1">IFERROR(__xludf.DUMMYFUNCTION("IMPORTRANGE(""https://docs.google.com/spreadsheets/d/1MeEWN-I1oV_STSDYn1IFDPWt_1FKiwhDph83XaGc0o0/edit?usp=sharing"",""งบพรบ!BI18"")"),0)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212600</v>
      </c>
      <c r="N132" s="155">
        <f t="shared" ca="1" si="69"/>
        <v>159064</v>
      </c>
      <c r="O132" s="155">
        <f t="shared" ref="O132:O140" ca="1" si="70">IF(L132&gt;0,N132*100/L132,0)</f>
        <v>66.483041106768923</v>
      </c>
      <c r="P132" s="155">
        <f t="shared" ref="P132:P140" ca="1" si="71">IF(M132&gt;0,N132*100/M132,0)</f>
        <v>74.818438381937909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239255</v>
      </c>
      <c r="M134" s="93">
        <f t="shared" ca="1" si="72"/>
        <v>212600</v>
      </c>
      <c r="N134" s="93">
        <f t="shared" ca="1" si="72"/>
        <v>159064</v>
      </c>
      <c r="O134" s="93">
        <f t="shared" ca="1" si="70"/>
        <v>66.483041106768923</v>
      </c>
      <c r="P134" s="93">
        <f t="shared" ca="1" si="71"/>
        <v>74.818438381937909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109600</v>
      </c>
      <c r="N135" s="466">
        <f t="shared" ca="1" si="73"/>
        <v>56064</v>
      </c>
      <c r="O135" s="466">
        <f t="shared" ca="1" si="70"/>
        <v>41.146379949359655</v>
      </c>
      <c r="P135" s="466">
        <f t="shared" ca="1" si="71"/>
        <v>51.153284671532845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IFERROR(__xludf.DUMMYFUNCTION("IMPORTRANGE(""https://docs.google.com/spreadsheets/d/1MeEWN-I1oV_STSDYn1IFDPWt_1FKiwhDph83XaGc0o0/edit?usp=sharing"",""งบพรบ!BK18"")"),136255)</f>
        <v>136255</v>
      </c>
      <c r="M137" s="93">
        <f ca="1">IFERROR(__xludf.DUMMYFUNCTION("IMPORTRANGE(""https://docs.google.com/spreadsheets/d/1MeEWN-I1oV_STSDYn1IFDPWt_1FKiwhDph83XaGc0o0/edit?usp=sharing"",""งบพรบ!BP18"")"),109600)</f>
        <v>109600</v>
      </c>
      <c r="N137" s="93">
        <f ca="1">IFERROR(__xludf.DUMMYFUNCTION("IMPORTRANGE(""https://docs.google.com/spreadsheets/d/1MeEWN-I1oV_STSDYn1IFDPWt_1FKiwhDph83XaGc0o0/edit?usp=sharing"",""งบพรบ!BR18"")"),56064)</f>
        <v>56064</v>
      </c>
      <c r="O137" s="93">
        <f t="shared" ca="1" si="70"/>
        <v>41.146379949359655</v>
      </c>
      <c r="P137" s="93">
        <f t="shared" ca="1" si="71"/>
        <v>51.153284671532845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IFERROR(__xludf.DUMMYFUNCTION("IMPORTRANGE(""https://docs.google.com/spreadsheets/d/1MeEWN-I1oV_STSDYn1IFDPWt_1FKiwhDph83XaGc0o0/edit?usp=sharing"",""งบพรบ!BN18"")"),103000)</f>
        <v>103000</v>
      </c>
      <c r="M140" s="93">
        <f ca="1">IFERROR(__xludf.DUMMYFUNCTION("IMPORTRANGE(""https://docs.google.com/spreadsheets/d/1MeEWN-I1oV_STSDYn1IFDPWt_1FKiwhDph83XaGc0o0/edit?usp=sharing"",""งบพรบ!BQ18"")"),103000)</f>
        <v>103000</v>
      </c>
      <c r="N140" s="93">
        <f ca="1">IFERROR(__xludf.DUMMYFUNCTION("IMPORTRANGE(""https://docs.google.com/spreadsheets/d/1MeEWN-I1oV_STSDYn1IFDPWt_1FKiwhDph83XaGc0o0/edit?usp=sharing"",""งบพรบ!BS18"")"),103000)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IFERROR(__xludf.DUMMYFUNCTION("IMPORTRANGE(""https://docs.google.com/spreadsheets/d/1QqKyyYR6Q21VydFLVH3TRQUabQu_ym0Zz7PgGX0-kHA/edit?usp=sharing"",""แผน!U18"")"),5)</f>
        <v>5</v>
      </c>
      <c r="J144" s="215">
        <v>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IFERROR(__xludf.DUMMYFUNCTION("IMPORTRANGE(""https://docs.google.com/spreadsheets/d/1QqKyyYR6Q21VydFLVH3TRQUabQu_ym0Zz7PgGX0-kHA/edit?usp=sharing"",""แผน!V18"")"),10)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IFERROR(__xludf.DUMMYFUNCTION("IMPORTRANGE(""https://docs.google.com/spreadsheets/d/1QqKyyYR6Q21VydFLVH3TRQUabQu_ym0Zz7PgGX0-kHA/edit?usp=sharing"",""แผน!W18"")"),1)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12000</v>
      </c>
      <c r="N149" s="155">
        <f t="shared" ca="1" si="77"/>
        <v>11730</v>
      </c>
      <c r="O149" s="155">
        <f t="shared" ref="O149:O157" ca="1" si="78">IF(L149&gt;0,N149*100/L149,0)</f>
        <v>117.3</v>
      </c>
      <c r="P149" s="155">
        <f t="shared" ref="P149:P157" ca="1" si="79">IF(M149&gt;0,N149*100/M149,0)</f>
        <v>97.75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12000</v>
      </c>
      <c r="N151" s="93">
        <f t="shared" ca="1" si="80"/>
        <v>11730</v>
      </c>
      <c r="O151" s="93">
        <f t="shared" ca="1" si="78"/>
        <v>117.3</v>
      </c>
      <c r="P151" s="93">
        <f t="shared" ca="1" si="79"/>
        <v>97.75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12000</v>
      </c>
      <c r="N152" s="466">
        <f t="shared" ca="1" si="81"/>
        <v>11730</v>
      </c>
      <c r="O152" s="466">
        <f t="shared" ca="1" si="78"/>
        <v>117.3</v>
      </c>
      <c r="P152" s="466">
        <f t="shared" ca="1" si="79"/>
        <v>97.75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IFERROR(__xludf.DUMMYFUNCTION("IMPORTRANGE(""https://docs.google.com/spreadsheets/d/1MeEWN-I1oV_STSDYn1IFDPWt_1FKiwhDph83XaGc0o0/edit?usp=sharing"",""งบพรบ!BU18"")"),10000)</f>
        <v>10000</v>
      </c>
      <c r="M154" s="93">
        <f ca="1">IFERROR(__xludf.DUMMYFUNCTION("IMPORTRANGE(""https://docs.google.com/spreadsheets/d/1MeEWN-I1oV_STSDYn1IFDPWt_1FKiwhDph83XaGc0o0/edit?usp=sharing"",""งบพรบ!BZ18"")"),12000)</f>
        <v>12000</v>
      </c>
      <c r="N154" s="93">
        <f ca="1">IFERROR(__xludf.DUMMYFUNCTION("IMPORTRANGE(""https://docs.google.com/spreadsheets/d/1MeEWN-I1oV_STSDYn1IFDPWt_1FKiwhDph83XaGc0o0/edit?usp=sharing"",""งบพรบ!CB18"")"),11730)</f>
        <v>11730</v>
      </c>
      <c r="O154" s="93">
        <f t="shared" ca="1" si="78"/>
        <v>117.3</v>
      </c>
      <c r="P154" s="93">
        <f t="shared" ca="1" si="79"/>
        <v>97.75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IFERROR(__xludf.DUMMYFUNCTION("IMPORTRANGE(""https://docs.google.com/spreadsheets/d/1MeEWN-I1oV_STSDYn1IFDPWt_1FKiwhDph83XaGc0o0/edit?usp=sharing"",""งบพรบ!BX18"")"),0)</f>
        <v>0</v>
      </c>
      <c r="M157" s="93">
        <f ca="1">IFERROR(__xludf.DUMMYFUNCTION("IMPORTRANGE(""https://docs.google.com/spreadsheets/d/1MeEWN-I1oV_STSDYn1IFDPWt_1FKiwhDph83XaGc0o0/edit?usp=sharing"",""งบพรบ!CA18"")"),0)</f>
        <v>0</v>
      </c>
      <c r="N157" s="93">
        <f ca="1">IFERROR(__xludf.DUMMYFUNCTION("IMPORTRANGE(""https://docs.google.com/spreadsheets/d/1MeEWN-I1oV_STSDYn1IFDPWt_1FKiwhDph83XaGc0o0/edit?usp=sharing"",""งบพรบ!CC18"")"),0)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IFERROR(__xludf.DUMMYFUNCTION("IMPORTRANGE(""https://docs.google.com/spreadsheets/d/1QqKyyYR6Q21VydFLVH3TRQUabQu_ym0Zz7PgGX0-kHA/edit?usp=sharing"",""แผน!X18"")"),20)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36175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60.967519004837598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36175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60.967519004837598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36175</v>
      </c>
      <c r="N168" s="466">
        <f t="shared" ca="1" si="88"/>
        <v>22055</v>
      </c>
      <c r="O168" s="466">
        <f t="shared" ca="1" si="85"/>
        <v>100</v>
      </c>
      <c r="P168" s="466">
        <f t="shared" ca="1" si="86"/>
        <v>60.967519004837598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IFERROR(__xludf.DUMMYFUNCTION("IMPORTRANGE(""https://docs.google.com/spreadsheets/d/1MeEWN-I1oV_STSDYn1IFDPWt_1FKiwhDph83XaGc0o0/edit?usp=sharing"",""งบพรบ!CE18"")"),22055)</f>
        <v>22055</v>
      </c>
      <c r="M170" s="93">
        <f ca="1">IFERROR(__xludf.DUMMYFUNCTION("IMPORTRANGE(""https://docs.google.com/spreadsheets/d/1MeEWN-I1oV_STSDYn1IFDPWt_1FKiwhDph83XaGc0o0/edit?usp=sharing"",""งบพรบ!CJ18"")"),36175)</f>
        <v>36175</v>
      </c>
      <c r="N170" s="93">
        <f ca="1">IFERROR(__xludf.DUMMYFUNCTION("IMPORTRANGE(""https://docs.google.com/spreadsheets/d/1MeEWN-I1oV_STSDYn1IFDPWt_1FKiwhDph83XaGc0o0/edit?usp=sharing"",""งบพรบ!CL18"")"),22055)</f>
        <v>22055</v>
      </c>
      <c r="O170" s="93">
        <f t="shared" ca="1" si="85"/>
        <v>100</v>
      </c>
      <c r="P170" s="93">
        <f t="shared" ca="1" si="86"/>
        <v>60.967519004837598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IFERROR(__xludf.DUMMYFUNCTION("IMPORTRANGE(""https://docs.google.com/spreadsheets/d/1MeEWN-I1oV_STSDYn1IFDPWt_1FKiwhDph83XaGc0o0/edit?usp=sharing"",""งบพรบ!CH18"")"),0)</f>
        <v>0</v>
      </c>
      <c r="M173" s="93">
        <f ca="1">IFERROR(__xludf.DUMMYFUNCTION("IMPORTRANGE(""https://docs.google.com/spreadsheets/d/1MeEWN-I1oV_STSDYn1IFDPWt_1FKiwhDph83XaGc0o0/edit?usp=sharing"",""งบพรบ!CK18"")"),0)</f>
        <v>0</v>
      </c>
      <c r="N173" s="93">
        <f ca="1">IFERROR(__xludf.DUMMYFUNCTION("IMPORTRANGE(""https://docs.google.com/spreadsheets/d/1MeEWN-I1oV_STSDYn1IFDPWt_1FKiwhDph83XaGc0o0/edit?usp=sharing"",""งบพรบ!CM18"")"),0)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IFERROR(__xludf.DUMMYFUNCTION("IMPORTRANGE(""https://docs.google.com/spreadsheets/d/1QqKyyYR6Q21VydFLVH3TRQUabQu_ym0Zz7PgGX0-kHA/edit?usp=sharing"",""แผน!Y18"")"),11)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107000</v>
      </c>
      <c r="M181" s="155">
        <f t="shared" ca="1" si="92"/>
        <v>80500</v>
      </c>
      <c r="N181" s="155">
        <f t="shared" ca="1" si="92"/>
        <v>2420</v>
      </c>
      <c r="O181" s="155">
        <f t="shared" ref="O181:O189" ca="1" si="93">IF(L181&gt;0,N181*100/L181,0)</f>
        <v>2.2616822429906542</v>
      </c>
      <c r="P181" s="155">
        <f t="shared" ref="P181:P189" ca="1" si="94">IF(M181&gt;0,N181*100/M181,0)</f>
        <v>3.0062111801242235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107000</v>
      </c>
      <c r="M183" s="93">
        <f t="shared" ca="1" si="95"/>
        <v>80500</v>
      </c>
      <c r="N183" s="93">
        <f t="shared" ca="1" si="95"/>
        <v>2420</v>
      </c>
      <c r="O183" s="93">
        <f t="shared" ca="1" si="93"/>
        <v>2.2616822429906542</v>
      </c>
      <c r="P183" s="93">
        <f t="shared" ca="1" si="94"/>
        <v>3.0062111801242235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6">L185+L186</f>
        <v>107000</v>
      </c>
      <c r="M184" s="466">
        <f t="shared" ca="1" si="96"/>
        <v>80500</v>
      </c>
      <c r="N184" s="466">
        <f t="shared" ca="1" si="96"/>
        <v>2420</v>
      </c>
      <c r="O184" s="466">
        <f t="shared" ca="1" si="93"/>
        <v>2.2616822429906542</v>
      </c>
      <c r="P184" s="466">
        <f t="shared" ca="1" si="94"/>
        <v>3.0062111801242235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IFERROR(__xludf.DUMMYFUNCTION("IMPORTRANGE(""https://docs.google.com/spreadsheets/d/1MeEWN-I1oV_STSDYn1IFDPWt_1FKiwhDph83XaGc0o0/edit?usp=sharing"",""งบพรบ!CO18"")"),107000)</f>
        <v>107000</v>
      </c>
      <c r="M186" s="93">
        <f ca="1">IFERROR(__xludf.DUMMYFUNCTION("IMPORTRANGE(""https://docs.google.com/spreadsheets/d/1MeEWN-I1oV_STSDYn1IFDPWt_1FKiwhDph83XaGc0o0/edit?usp=sharing"",""งบพรบ!CT18"")"),80500)</f>
        <v>80500</v>
      </c>
      <c r="N186" s="93">
        <f ca="1">IFERROR(__xludf.DUMMYFUNCTION("IMPORTRANGE(""https://docs.google.com/spreadsheets/d/1MeEWN-I1oV_STSDYn1IFDPWt_1FKiwhDph83XaGc0o0/edit?usp=sharing"",""งบพรบ!CV18"")"),2420)</f>
        <v>2420</v>
      </c>
      <c r="O186" s="93">
        <f t="shared" ca="1" si="93"/>
        <v>2.2616822429906542</v>
      </c>
      <c r="P186" s="93">
        <f t="shared" ca="1" si="94"/>
        <v>3.0062111801242235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IFERROR(__xludf.DUMMYFUNCTION("IMPORTRANGE(""https://docs.google.com/spreadsheets/d/1MeEWN-I1oV_STSDYn1IFDPWt_1FKiwhDph83XaGc0o0/edit?usp=sharing"",""งบพรบ!CR18"")"),0)</f>
        <v>0</v>
      </c>
      <c r="M189" s="93">
        <f ca="1">IFERROR(__xludf.DUMMYFUNCTION("IMPORTRANGE(""https://docs.google.com/spreadsheets/d/1MeEWN-I1oV_STSDYn1IFDPWt_1FKiwhDph83XaGc0o0/edit?usp=sharing"",""งบพรบ!CU18"")"),0)</f>
        <v>0</v>
      </c>
      <c r="N189" s="93">
        <f ca="1">IFERROR(__xludf.DUMMYFUNCTION("IMPORTRANGE(""https://docs.google.com/spreadsheets/d/1MeEWN-I1oV_STSDYn1IFDPWt_1FKiwhDph83XaGc0o0/edit?usp=sharing"",""งบพรบ!CW18"")"),0)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IFERROR(__xludf.DUMMYFUNCTION("IMPORTRANGE(""https://docs.google.com/spreadsheets/d/1QqKyyYR6Q21VydFLVH3TRQUabQu_ym0Zz7PgGX0-kHA/edit?usp=sharing"",""แผน!Z18"")"),6000)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IFERROR(__xludf.DUMMYFUNCTION("IMPORTRANGE(""https://docs.google.com/spreadsheets/d/1QqKyyYR6Q21VydFLVH3TRQUabQu_ym0Zz7PgGX0-kHA/edit?usp=sharing"",""แผน!AC18"")"),4)</f>
        <v>4</v>
      </c>
      <c r="J193" s="215">
        <v>1</v>
      </c>
      <c r="K193" s="466">
        <f ca="1">IF(I193&gt;0,J193*100/I193,0)</f>
        <v>25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27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27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70000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IFERROR(__xludf.DUMMYFUNCTION("IMPORTRANGE(""https://docs.google.com/spreadsheets/d/1QqKyyYR6Q21VydFLVH3TRQUabQu_ym0Zz7PgGX0-kHA/edit?usp=sharing"",""แผน!AE18"")"),5000)</f>
        <v>5000</v>
      </c>
      <c r="M199" s="466"/>
      <c r="N199" s="801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IFERROR(__xludf.DUMMYFUNCTION("IMPORTRANGE(""https://docs.google.com/spreadsheets/d/1QqKyyYR6Q21VydFLVH3TRQUabQu_ym0Zz7PgGX0-kHA/edit?usp=sharing"",""แผน!AF18"")"),40000)</f>
        <v>40000</v>
      </c>
      <c r="M200" s="466"/>
      <c r="N200" s="801">
        <v>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IFERROR(__xludf.DUMMYFUNCTION("IMPORTRANGE(""https://docs.google.com/spreadsheets/d/1QqKyyYR6Q21VydFLVH3TRQUabQu_ym0Zz7PgGX0-kHA/edit?usp=sharing"",""แผน!AG18"")"),20000)</f>
        <v>20000</v>
      </c>
      <c r="M201" s="466"/>
      <c r="N201" s="801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IFERROR(__xludf.DUMMYFUNCTION("IMPORTRANGE(""https://docs.google.com/spreadsheets/d/1QqKyyYR6Q21VydFLVH3TRQUabQu_ym0Zz7PgGX0-kHA/edit?usp=sharing"",""แผน!AH18"")"),5000)</f>
        <v>5000</v>
      </c>
      <c r="M202" s="466"/>
      <c r="N202" s="801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IFERROR(__xludf.DUMMYFUNCTION("IMPORTRANGE(""https://docs.google.com/spreadsheets/d/1QqKyyYR6Q21VydFLVH3TRQUabQu_ym0Zz7PgGX0-kHA/edit?usp=sharing"",""แผน!AI18"")"),5)</f>
        <v>5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5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IFERROR(__xludf.DUMMYFUNCTION("IMPORTRANGE(""https://docs.google.com/spreadsheets/d/1QqKyyYR6Q21VydFLVH3TRQUabQu_ym0Zz7PgGX0-kHA/edit?usp=sharing"",""แผน!AK18"")"),0)</f>
        <v>0</v>
      </c>
      <c r="M210" s="466"/>
      <c r="N210" s="801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IFERROR(__xludf.DUMMYFUNCTION("IMPORTRANGE(""https://docs.google.com/spreadsheets/d/1QqKyyYR6Q21VydFLVH3TRQUabQu_ym0Zz7PgGX0-kHA/edit?usp=sharing"",""แผน!AL18"")"),0)</f>
        <v>0</v>
      </c>
      <c r="M211" s="466"/>
      <c r="N211" s="801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IFERROR(__xludf.DUMMYFUNCTION("IMPORTRANGE(""https://docs.google.com/spreadsheets/d/1QqKyyYR6Q21VydFLVH3TRQUabQu_ym0Zz7PgGX0-kHA/edit?usp=sharing"",""แผน!AM18"")"),0)</f>
        <v>0</v>
      </c>
      <c r="M212" s="466"/>
      <c r="N212" s="801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IFERROR(__xludf.DUMMYFUNCTION("IMPORTRANGE(""https://docs.google.com/spreadsheets/d/1QqKyyYR6Q21VydFLVH3TRQUabQu_ym0Zz7PgGX0-kHA/edit?usp=sharing"",""แผน!AN18"")"),0)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IFERROR(__xludf.DUMMYFUNCTION("IMPORTRANGE(""https://docs.google.com/spreadsheets/d/1QqKyyYR6Q21VydFLVH3TRQUabQu_ym0Zz7PgGX0-kHA/edit?usp=sharing"",""แผน!AN18"")"),0)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IFERROR(__xludf.DUMMYFUNCTION("IMPORTRANGE(""https://docs.google.com/spreadsheets/d/1QqKyyYR6Q21VydFLVH3TRQUabQu_ym0Zz7PgGX0-kHA/edit?usp=sharing"",""แผน!AP18"")"),6000)</f>
        <v>6000</v>
      </c>
      <c r="M218" s="466"/>
      <c r="N218" s="801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IFERROR(__xludf.DUMMYFUNCTION("IMPORTRANGE(""https://docs.google.com/spreadsheets/d/1QqKyyYR6Q21VydFLVH3TRQUabQu_ym0Zz7PgGX0-kHA/edit?usp=sharing"",""แผน!AQ18"")"),25000)</f>
        <v>25000</v>
      </c>
      <c r="M219" s="466"/>
      <c r="N219" s="801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IFERROR(__xludf.DUMMYFUNCTION("IMPORTRANGE(""https://docs.google.com/spreadsheets/d/1QqKyyYR6Q21VydFLVH3TRQUabQu_ym0Zz7PgGX0-kHA/edit?usp=sharing"",""แผน!AR18"")"),0)</f>
        <v>0</v>
      </c>
      <c r="M220" s="466"/>
      <c r="N220" s="801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IFERROR(__xludf.DUMMYFUNCTION("IMPORTRANGE(""https://docs.google.com/spreadsheets/d/1QqKyyYR6Q21VydFLVH3TRQUabQu_ym0Zz7PgGX0-kHA/edit?usp=sharing"",""แผน!AT18"")"),100000)</f>
        <v>100000</v>
      </c>
      <c r="J223" s="215">
        <v>100000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IFERROR(__xludf.DUMMYFUNCTION("IMPORTRANGE(""https://docs.google.com/spreadsheets/d/1QqKyyYR6Q21VydFLVH3TRQUabQu_ym0Zz7PgGX0-kHA/edit?usp=sharing"",""แผน!AT18"")"),100000)</f>
        <v>100000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IFERROR(__xludf.DUMMYFUNCTION("IMPORTRANGE(""https://docs.google.com/spreadsheets/d/1QqKyyYR6Q21VydFLVH3TRQUabQu_ym0Zz7PgGX0-kHA/edit?usp=sharing"",""แผน!AS18"")"),0)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5">I237+I248</f>
        <v>0</v>
      </c>
      <c r="J226" s="821">
        <f t="shared" si="105"/>
        <v>0</v>
      </c>
      <c r="K226" s="82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6">L238+L249</f>
        <v>0</v>
      </c>
      <c r="M227" s="831"/>
      <c r="N227" s="831">
        <f t="shared" ref="N227:N231" si="107">N238+N249</f>
        <v>0</v>
      </c>
      <c r="O227" s="832"/>
      <c r="P227" s="83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35"/>
      <c r="R229" s="835"/>
      <c r="S229" s="835"/>
      <c r="T229" s="835"/>
      <c r="U229" s="835"/>
      <c r="V229" s="835"/>
      <c r="W229" s="835"/>
      <c r="X229" s="835"/>
      <c r="Y229" s="835"/>
      <c r="Z229" s="835"/>
    </row>
    <row r="230" spans="1:2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35"/>
      <c r="R230" s="835"/>
      <c r="S230" s="835"/>
      <c r="T230" s="835"/>
      <c r="U230" s="835"/>
      <c r="V230" s="835"/>
      <c r="W230" s="835"/>
      <c r="X230" s="835"/>
      <c r="Y230" s="835"/>
      <c r="Z230" s="835"/>
    </row>
    <row r="231" spans="1:2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35"/>
      <c r="R231" s="835"/>
      <c r="S231" s="835"/>
      <c r="T231" s="835"/>
      <c r="U231" s="835"/>
      <c r="V231" s="835"/>
      <c r="W231" s="835"/>
      <c r="X231" s="835"/>
      <c r="Y231" s="835"/>
      <c r="Z231" s="835"/>
    </row>
    <row r="232" spans="1:2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IFERROR(__xludf.DUMMYFUNCTION("IMPORTRANGE(""https://docs.google.com/spreadsheets/d/1QqKyyYR6Q21VydFLVH3TRQUabQu_ym0Zz7PgGX0-kHA/edit?usp=sharing"",""แผน!AV18"")"),0)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IFERROR(__xludf.DUMMYFUNCTION("IMPORTRANGE(""https://docs.google.com/spreadsheets/d/1QqKyyYR6Q21VydFLVH3TRQUabQu_ym0Zz7PgGX0-kHA/edit?usp=sharing"",""แผน!AW18"")"),0)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IFERROR(__xludf.DUMMYFUNCTION("IMPORTRANGE(""https://docs.google.com/spreadsheets/d/1QqKyyYR6Q21VydFLVH3TRQUabQu_ym0Zz7PgGX0-kHA/edit?usp=sharing"",""แผน!AX18"")"),0)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IFERROR(__xludf.DUMMYFUNCTION("IMPORTRANGE(""https://docs.google.com/spreadsheets/d/1QqKyyYR6Q21VydFLVH3TRQUabQu_ym0Zz7PgGX0-kHA/edit?usp=sharing"",""แผน!AY18"")"),0)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IFERROR(__xludf.DUMMYFUNCTION("IMPORTRANGE(""https://docs.google.com/spreadsheets/d/1QqKyyYR6Q21VydFLVH3TRQUabQu_ym0Zz7PgGX0-kHA/edit?usp=sharing"",""แผน!BE18"")"),0)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IFERROR(__xludf.DUMMYFUNCTION("IMPORTRANGE(""https://docs.google.com/spreadsheets/d/1QqKyyYR6Q21VydFLVH3TRQUabQu_ym0Zz7PgGX0-kHA/edit?usp=sharing"",""แผน!AZ18"")"),0)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IFERROR(__xludf.DUMMYFUNCTION("IMPORTRANGE(""https://docs.google.com/spreadsheets/d/1QqKyyYR6Q21VydFLVH3TRQUabQu_ym0Zz7PgGX0-kHA/edit?usp=sharing"",""แผน!BA18"")"),0)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IFERROR(__xludf.DUMMYFUNCTION("IMPORTRANGE(""https://docs.google.com/spreadsheets/d/1QqKyyYR6Q21VydFLVH3TRQUabQu_ym0Zz7PgGX0-kHA/edit?usp=sharing"",""แผน!BB18"")"),0)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IFERROR(__xludf.DUMMYFUNCTION("IMPORTRANGE(""https://docs.google.com/spreadsheets/d/1QqKyyYR6Q21VydFLVH3TRQUabQu_ym0Zz7PgGX0-kHA/edit?usp=sharing"",""แผน!BC18"")"),0)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IFERROR(__xludf.DUMMYFUNCTION("IMPORTRANGE(""https://docs.google.com/spreadsheets/d/1QqKyyYR6Q21VydFLVH3TRQUabQu_ym0Zz7PgGX0-kHA/edit?usp=sharing"",""แผน!BF18"")"),0)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21780</v>
      </c>
      <c r="O261" s="155">
        <f t="shared" ref="O261:O269" ca="1" si="117">IF(L261&gt;0,N261*100/L261,0)</f>
        <v>80.966542750929364</v>
      </c>
      <c r="P261" s="155">
        <f t="shared" ref="P261:P269" ca="1" si="118">IF(M261&gt;0,N261*100/M261,0)</f>
        <v>91.129707112970706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21780</v>
      </c>
      <c r="O263" s="93">
        <f t="shared" ca="1" si="117"/>
        <v>80.966542750929364</v>
      </c>
      <c r="P263" s="93">
        <f t="shared" ca="1" si="118"/>
        <v>91.129707112970706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21780</v>
      </c>
      <c r="O264" s="466">
        <f t="shared" ca="1" si="117"/>
        <v>80.966542750929364</v>
      </c>
      <c r="P264" s="466">
        <f t="shared" ca="1" si="118"/>
        <v>91.129707112970706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IFERROR(__xludf.DUMMYFUNCTION("IMPORTRANGE(""https://docs.google.com/spreadsheets/d/1MeEWN-I1oV_STSDYn1IFDPWt_1FKiwhDph83XaGc0o0/edit?usp=sharing"",""งบพรบ!CY18"")"),26900)</f>
        <v>26900</v>
      </c>
      <c r="M266" s="93">
        <f ca="1">IFERROR(__xludf.DUMMYFUNCTION("IMPORTRANGE(""https://docs.google.com/spreadsheets/d/1MeEWN-I1oV_STSDYn1IFDPWt_1FKiwhDph83XaGc0o0/edit?usp=sharing"",""งบพรบ!DD18"")"),23900)</f>
        <v>23900</v>
      </c>
      <c r="N266" s="93">
        <f ca="1">IFERROR(__xludf.DUMMYFUNCTION("IMPORTRANGE(""https://docs.google.com/spreadsheets/d/1MeEWN-I1oV_STSDYn1IFDPWt_1FKiwhDph83XaGc0o0/edit?usp=sharing"",""งบพรบ!DF18"")"),21780)</f>
        <v>21780</v>
      </c>
      <c r="O266" s="93">
        <f t="shared" ca="1" si="117"/>
        <v>80.966542750929364</v>
      </c>
      <c r="P266" s="93">
        <f t="shared" ca="1" si="118"/>
        <v>91.129707112970706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IFERROR(__xludf.DUMMYFUNCTION("IMPORTRANGE(""https://docs.google.com/spreadsheets/d/1MeEWN-I1oV_STSDYn1IFDPWt_1FKiwhDph83XaGc0o0/edit?usp=sharing"",""งบพรบ!DB18"")"),0)</f>
        <v>0</v>
      </c>
      <c r="M269" s="93">
        <f ca="1">IFERROR(__xludf.DUMMYFUNCTION("IMPORTRANGE(""https://docs.google.com/spreadsheets/d/1MeEWN-I1oV_STSDYn1IFDPWt_1FKiwhDph83XaGc0o0/edit?usp=sharing"",""งบพรบ!DE18"")"),0)</f>
        <v>0</v>
      </c>
      <c r="N269" s="93">
        <f ca="1">IFERROR(__xludf.DUMMYFUNCTION("IMPORTRANGE(""https://docs.google.com/spreadsheets/d/1MeEWN-I1oV_STSDYn1IFDPWt_1FKiwhDph83XaGc0o0/edit?usp=sharing"",""งบพรบ!DG18"")"),0)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4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335110</v>
      </c>
      <c r="M277" s="155">
        <f t="shared" ca="1" si="125"/>
        <v>296660</v>
      </c>
      <c r="N277" s="155">
        <f t="shared" ca="1" si="125"/>
        <v>47943.3</v>
      </c>
      <c r="O277" s="155">
        <f t="shared" ref="O277:O285" ca="1" si="126">IF(L277&gt;0,N277*100/L277,0)</f>
        <v>14.306735101906837</v>
      </c>
      <c r="P277" s="155">
        <f t="shared" ref="P277:P285" ca="1" si="127">IF(M277&gt;0,N277*100/M277,0)</f>
        <v>16.161026090473943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335110</v>
      </c>
      <c r="M279" s="93">
        <f t="shared" ca="1" si="128"/>
        <v>296660</v>
      </c>
      <c r="N279" s="93">
        <f t="shared" ca="1" si="128"/>
        <v>47943.3</v>
      </c>
      <c r="O279" s="93">
        <f t="shared" ca="1" si="126"/>
        <v>14.306735101906837</v>
      </c>
      <c r="P279" s="93">
        <f t="shared" ca="1" si="127"/>
        <v>16.161026090473943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29">L281+L282</f>
        <v>335110</v>
      </c>
      <c r="M280" s="466">
        <f t="shared" ca="1" si="129"/>
        <v>296660</v>
      </c>
      <c r="N280" s="466">
        <f t="shared" ca="1" si="129"/>
        <v>47943.3</v>
      </c>
      <c r="O280" s="466">
        <f t="shared" ca="1" si="126"/>
        <v>14.306735101906837</v>
      </c>
      <c r="P280" s="466">
        <f t="shared" ca="1" si="127"/>
        <v>16.161026090473943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IFERROR(__xludf.DUMMYFUNCTION("IMPORTRANGE(""https://docs.google.com/spreadsheets/d/1MeEWN-I1oV_STSDYn1IFDPWt_1FKiwhDph83XaGc0o0/edit?usp=sharing"",""งบพรบ!DI18"")"),335110)</f>
        <v>335110</v>
      </c>
      <c r="M282" s="93">
        <f ca="1">IFERROR(__xludf.DUMMYFUNCTION("IMPORTRANGE(""https://docs.google.com/spreadsheets/d/1MeEWN-I1oV_STSDYn1IFDPWt_1FKiwhDph83XaGc0o0/edit?usp=sharing"",""งบพรบ!DN18"")"),296660)</f>
        <v>296660</v>
      </c>
      <c r="N282" s="93">
        <f ca="1">IFERROR(__xludf.DUMMYFUNCTION("IMPORTRANGE(""https://docs.google.com/spreadsheets/d/1MeEWN-I1oV_STSDYn1IFDPWt_1FKiwhDph83XaGc0o0/edit?usp=sharing"",""งบพรบ!DP18"")"),47943.3)</f>
        <v>47943.3</v>
      </c>
      <c r="O282" s="93">
        <f t="shared" ca="1" si="126"/>
        <v>14.306735101906837</v>
      </c>
      <c r="P282" s="93">
        <f t="shared" ca="1" si="127"/>
        <v>16.161026090473943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IFERROR(__xludf.DUMMYFUNCTION("IMPORTRANGE(""https://docs.google.com/spreadsheets/d/1MeEWN-I1oV_STSDYn1IFDPWt_1FKiwhDph83XaGc0o0/edit?usp=sharing"",""งบพรบ!DL18"")"),0)</f>
        <v>0</v>
      </c>
      <c r="M285" s="93">
        <f ca="1">IFERROR(__xludf.DUMMYFUNCTION("IMPORTRANGE(""https://docs.google.com/spreadsheets/d/1MeEWN-I1oV_STSDYn1IFDPWt_1FKiwhDph83XaGc0o0/edit?usp=sharing"",""งบพรบ!DO18"")"),0)</f>
        <v>0</v>
      </c>
      <c r="N285" s="93">
        <f ca="1">IFERROR(__xludf.DUMMYFUNCTION("IMPORTRANGE(""https://docs.google.com/spreadsheets/d/1MeEWN-I1oV_STSDYn1IFDPWt_1FKiwhDph83XaGc0o0/edit?usp=sharing"",""งบพรบ!DQ18"")"),0)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IFERROR(__xludf.DUMMYFUNCTION("IMPORTRANGE(""https://docs.google.com/spreadsheets/d/1QqKyyYR6Q21VydFLVH3TRQUabQu_ym0Zz7PgGX0-kHA/edit?usp=sharing"",""แผน!EC18"")"),500)</f>
        <v>500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IFERROR(__xludf.DUMMYFUNCTION("IMPORTRANGE(""https://docs.google.com/spreadsheets/d/1QqKyyYR6Q21VydFLVH3TRQUabQu_ym0Zz7PgGX0-kHA/edit?usp=sharing"",""แผน!EB18"")"),50)</f>
        <v>50</v>
      </c>
      <c r="J288" s="648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IFERROR(__xludf.DUMMYFUNCTION("IMPORTRANGE(""https://docs.google.com/spreadsheets/d/1QqKyyYR6Q21VydFLVH3TRQUabQu_ym0Zz7PgGX0-kHA/edit?usp=sharing"",""แผน!EB18"")"),50)</f>
        <v>50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IFERROR(__xludf.DUMMYFUNCTION("IMPORTRANGE(""https://docs.google.com/spreadsheets/d/1QqKyyYR6Q21VydFLVH3TRQUabQu_ym0Zz7PgGX0-kHA/edit?usp=sharing"",""แผน!EB18"")"),50)</f>
        <v>50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IFERROR(__xludf.DUMMYFUNCTION("IMPORTRANGE(""https://docs.google.com/spreadsheets/d/1QqKyyYR6Q21VydFLVH3TRQUabQu_ym0Zz7PgGX0-kHA/edit?usp=sharing"",""แผน!EB18"")"),50)</f>
        <v>50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1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IFERROR(__xludf.DUMMYFUNCTION("IMPORTRANGE(""https://docs.google.com/spreadsheets/d/1QqKyyYR6Q21VydFLVH3TRQUabQu_ym0Zz7PgGX0-kHA/edit?usp=sharing"",""แผน!EB18"")"),50)</f>
        <v>50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25</v>
      </c>
      <c r="J297" s="413">
        <f t="shared" si="134"/>
        <v>25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4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101000</v>
      </c>
      <c r="M298" s="155">
        <f t="shared" ca="1" si="135"/>
        <v>78500</v>
      </c>
      <c r="N298" s="155">
        <f t="shared" ca="1" si="135"/>
        <v>60400</v>
      </c>
      <c r="O298" s="155">
        <f t="shared" ref="O298:O306" ca="1" si="136">IF(L298&gt;0,N298*100/L298,0)</f>
        <v>59.801980198019805</v>
      </c>
      <c r="P298" s="155">
        <f t="shared" ref="P298:P306" ca="1" si="137">IF(M298&gt;0,N298*100/M298,0)</f>
        <v>76.942675159235662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101000</v>
      </c>
      <c r="M300" s="93">
        <f t="shared" ca="1" si="138"/>
        <v>78500</v>
      </c>
      <c r="N300" s="93">
        <f t="shared" ca="1" si="138"/>
        <v>60400</v>
      </c>
      <c r="O300" s="93">
        <f t="shared" ca="1" si="136"/>
        <v>59.801980198019805</v>
      </c>
      <c r="P300" s="93">
        <f t="shared" ca="1" si="137"/>
        <v>76.942675159235662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39">L302+L303</f>
        <v>101000</v>
      </c>
      <c r="M301" s="466">
        <f t="shared" ca="1" si="139"/>
        <v>78500</v>
      </c>
      <c r="N301" s="466">
        <f t="shared" ca="1" si="139"/>
        <v>60400</v>
      </c>
      <c r="O301" s="466">
        <f t="shared" ca="1" si="136"/>
        <v>59.801980198019805</v>
      </c>
      <c r="P301" s="466">
        <f t="shared" ca="1" si="137"/>
        <v>76.942675159235662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IFERROR(__xludf.DUMMYFUNCTION("IMPORTRANGE(""https://docs.google.com/spreadsheets/d/1MeEWN-I1oV_STSDYn1IFDPWt_1FKiwhDph83XaGc0o0/edit?usp=sharing"",""งบพรบ!DS18"")"),101000)</f>
        <v>101000</v>
      </c>
      <c r="M303" s="93">
        <f ca="1">IFERROR(__xludf.DUMMYFUNCTION("IMPORTRANGE(""https://docs.google.com/spreadsheets/d/1MeEWN-I1oV_STSDYn1IFDPWt_1FKiwhDph83XaGc0o0/edit?usp=sharing"",""งบพรบ!DX18"")"),78500)</f>
        <v>78500</v>
      </c>
      <c r="N303" s="93">
        <f ca="1">IFERROR(__xludf.DUMMYFUNCTION("IMPORTRANGE(""https://docs.google.com/spreadsheets/d/1MeEWN-I1oV_STSDYn1IFDPWt_1FKiwhDph83XaGc0o0/edit?usp=sharing"",""งบพรบ!DZ18"")"),60400)</f>
        <v>60400</v>
      </c>
      <c r="O303" s="93">
        <f t="shared" ca="1" si="136"/>
        <v>59.801980198019805</v>
      </c>
      <c r="P303" s="93">
        <f t="shared" ca="1" si="137"/>
        <v>76.942675159235662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IFERROR(__xludf.DUMMYFUNCTION("IMPORTRANGE(""https://docs.google.com/spreadsheets/d/1MeEWN-I1oV_STSDYn1IFDPWt_1FKiwhDph83XaGc0o0/edit?usp=sharing"",""งบพรบ!DV18"")"),0)</f>
        <v>0</v>
      </c>
      <c r="M306" s="93">
        <f ca="1">IFERROR(__xludf.DUMMYFUNCTION("IMPORTRANGE(""https://docs.google.com/spreadsheets/d/1MeEWN-I1oV_STSDYn1IFDPWt_1FKiwhDph83XaGc0o0/edit?usp=sharing"",""งบพรบ!DY18"")"),0)</f>
        <v>0</v>
      </c>
      <c r="N306" s="93">
        <f ca="1">IFERROR(__xludf.DUMMYFUNCTION("IMPORTRANGE(""https://docs.google.com/spreadsheets/d/1MeEWN-I1oV_STSDYn1IFDPWt_1FKiwhDph83XaGc0o0/edit?usp=sharing"",""งบพรบ!EA18"")"),0)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IFERROR(__xludf.DUMMYFUNCTION("IMPORTRANGE(""https://docs.google.com/spreadsheets/d/1QqKyyYR6Q21VydFLVH3TRQUabQu_ym0Zz7PgGX0-kHA/edit?usp=sharing"",""แผน!ED18"")"),25)</f>
        <v>25</v>
      </c>
      <c r="J309" s="215">
        <v>25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IFERROR(__xludf.DUMMYFUNCTION("IMPORTRANGE(""https://docs.google.com/spreadsheets/d/1QqKyyYR6Q21VydFLVH3TRQUabQu_ym0Zz7PgGX0-kHA/edit?usp=sharing"",""แผน!ED18"")"),25)</f>
        <v>25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IFERROR(__xludf.DUMMYFUNCTION("IMPORTRANGE(""https://docs.google.com/spreadsheets/d/1QqKyyYR6Q21VydFLVH3TRQUabQu_ym0Zz7PgGX0-kHA/edit?usp=sharing"",""แผน!ED18"")"),25)</f>
        <v>25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IFERROR(__xludf.DUMMYFUNCTION("IMPORTRANGE(""https://docs.google.com/spreadsheets/d/1QqKyyYR6Q21VydFLVH3TRQUabQu_ym0Zz7PgGX0-kHA/edit?usp=sharing"",""แผน!EE18"")"),5)</f>
        <v>5</v>
      </c>
      <c r="J312" s="215">
        <v>5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4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IFERROR(__xludf.DUMMYFUNCTION("IMPORTRANGE(""https://docs.google.com/spreadsheets/d/1MeEWN-I1oV_STSDYn1IFDPWt_1FKiwhDph83XaGc0o0/edit?usp=sharing"",""งบพรบ!EC18"")"),0)</f>
        <v>0</v>
      </c>
      <c r="M320" s="93">
        <f ca="1">IFERROR(__xludf.DUMMYFUNCTION("IMPORTRANGE(""https://docs.google.com/spreadsheets/d/1MeEWN-I1oV_STSDYn1IFDPWt_1FKiwhDph83XaGc0o0/edit?usp=sharing"",""งบพรบ!EH18"")"),0)</f>
        <v>0</v>
      </c>
      <c r="N320" s="93">
        <f ca="1">IFERROR(__xludf.DUMMYFUNCTION("IMPORTRANGE(""https://docs.google.com/spreadsheets/d/1MeEWN-I1oV_STSDYn1IFDPWt_1FKiwhDph83XaGc0o0/edit?usp=sharing"",""งบพรบ!EJ18"")"),0)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IFERROR(__xludf.DUMMYFUNCTION("IMPORTRANGE(""https://docs.google.com/spreadsheets/d/1MeEWN-I1oV_STSDYn1IFDPWt_1FKiwhDph83XaGc0o0/edit?usp=sharing"",""งบพรบ!EF18"")"),0)</f>
        <v>0</v>
      </c>
      <c r="M323" s="93">
        <f ca="1">IFERROR(__xludf.DUMMYFUNCTION("IMPORTRANGE(""https://docs.google.com/spreadsheets/d/1MeEWN-I1oV_STSDYn1IFDPWt_1FKiwhDph83XaGc0o0/edit?usp=sharing"",""งบพรบ!EI18"")"),0)</f>
        <v>0</v>
      </c>
      <c r="N323" s="93">
        <f ca="1">IFERROR(__xludf.DUMMYFUNCTION("IMPORTRANGE(""https://docs.google.com/spreadsheets/d/1MeEWN-I1oV_STSDYn1IFDPWt_1FKiwhDph83XaGc0o0/edit?usp=sharing"",""งบพรบ!EK18"")"),0)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IFERROR(__xludf.DUMMYFUNCTION("IMPORTRANGE(""https://docs.google.com/spreadsheets/d/1QqKyyYR6Q21VydFLVH3TRQUabQu_ym0Zz7PgGX0-kHA/edit?usp=sharing"",""แผน!EF18"")"),0)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IFERROR(__xludf.DUMMYFUNCTION("IMPORTRANGE(""https://docs.google.com/spreadsheets/d/1QqKyyYR6Q21VydFLVH3TRQUabQu_ym0Zz7PgGX0-kHA/edit?usp=sharing"",""แผน!EG18"")"),3500)</f>
        <v>3500</v>
      </c>
      <c r="J327" s="413">
        <f ca="1">J338+J341+J342+J343</f>
        <v>2015</v>
      </c>
      <c r="K327" s="414">
        <f ca="1">IF(I327&gt;0,J327*100/I327,0)</f>
        <v>57.571428571428569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4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177000</v>
      </c>
      <c r="M328" s="155">
        <f t="shared" ca="1" si="149"/>
        <v>132750</v>
      </c>
      <c r="N328" s="155">
        <f t="shared" ca="1" si="149"/>
        <v>48386</v>
      </c>
      <c r="O328" s="155">
        <f t="shared" ref="O328:O336" ca="1" si="150">IF(L328&gt;0,N328*100/L328,0)</f>
        <v>27.336723163841807</v>
      </c>
      <c r="P328" s="155">
        <f t="shared" ref="P328:P336" ca="1" si="151">IF(M328&gt;0,N328*100/M328,0)</f>
        <v>36.448964218455743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177000</v>
      </c>
      <c r="M330" s="93">
        <f t="shared" ca="1" si="152"/>
        <v>132750</v>
      </c>
      <c r="N330" s="93">
        <f t="shared" ca="1" si="152"/>
        <v>48386</v>
      </c>
      <c r="O330" s="93">
        <f t="shared" ca="1" si="150"/>
        <v>27.336723163841807</v>
      </c>
      <c r="P330" s="93">
        <f t="shared" ca="1" si="151"/>
        <v>36.448964218455743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3">L332+L333</f>
        <v>177000</v>
      </c>
      <c r="M331" s="466">
        <f t="shared" ca="1" si="153"/>
        <v>132750</v>
      </c>
      <c r="N331" s="466">
        <f t="shared" ca="1" si="153"/>
        <v>48386</v>
      </c>
      <c r="O331" s="466">
        <f t="shared" ca="1" si="150"/>
        <v>27.336723163841807</v>
      </c>
      <c r="P331" s="466">
        <f t="shared" ca="1" si="151"/>
        <v>36.448964218455743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IFERROR(__xludf.DUMMYFUNCTION("IMPORTRANGE(""https://docs.google.com/spreadsheets/d/1MeEWN-I1oV_STSDYn1IFDPWt_1FKiwhDph83XaGc0o0/edit?usp=sharing"",""งบพรบ!EM18"")"),177000)</f>
        <v>177000</v>
      </c>
      <c r="M333" s="93">
        <f ca="1">IFERROR(__xludf.DUMMYFUNCTION("IMPORTRANGE(""https://docs.google.com/spreadsheets/d/1MeEWN-I1oV_STSDYn1IFDPWt_1FKiwhDph83XaGc0o0/edit?usp=sharing"",""งบพรบ!ER18"")"),132750)</f>
        <v>132750</v>
      </c>
      <c r="N333" s="93">
        <f ca="1">IFERROR(__xludf.DUMMYFUNCTION("IMPORTRANGE(""https://docs.google.com/spreadsheets/d/1MeEWN-I1oV_STSDYn1IFDPWt_1FKiwhDph83XaGc0o0/edit?usp=sharing"",""งบพรบ!ET18"")"),48386)</f>
        <v>48386</v>
      </c>
      <c r="O333" s="93">
        <f t="shared" ca="1" si="150"/>
        <v>27.336723163841807</v>
      </c>
      <c r="P333" s="93">
        <f t="shared" ca="1" si="151"/>
        <v>36.448964218455743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IFERROR(__xludf.DUMMYFUNCTION("IMPORTRANGE(""https://docs.google.com/spreadsheets/d/1MeEWN-I1oV_STSDYn1IFDPWt_1FKiwhDph83XaGc0o0/edit?usp=sharing"",""งบพรบ!EP18"")"),0)</f>
        <v>0</v>
      </c>
      <c r="M336" s="93">
        <f ca="1">IFERROR(__xludf.DUMMYFUNCTION("IMPORTRANGE(""https://docs.google.com/spreadsheets/d/1MeEWN-I1oV_STSDYn1IFDPWt_1FKiwhDph83XaGc0o0/edit?usp=sharing"",""งบพรบ!ES18"")"),0)</f>
        <v>0</v>
      </c>
      <c r="N336" s="93">
        <f ca="1">IFERROR(__xludf.DUMMYFUNCTION("IMPORTRANGE(""https://docs.google.com/spreadsheets/d/1MeEWN-I1oV_STSDYn1IFDPWt_1FKiwhDph83XaGc0o0/edit?usp=sharing"",""งบพรบ!EU18"")"),0)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IFERROR(__xludf.DUMMYFUNCTION("IMPORTRANGE(""https://docs.google.com/spreadsheets/d/1QqKyyYR6Q21VydFLVH3TRQUabQu_ym0Zz7PgGX0-kHA/edit?usp=sharing"",""แผน!EG18"")"),3500)</f>
        <v>3500</v>
      </c>
      <c r="J338" s="270">
        <f ca="1">IFERROR(__xludf.DUMMYFUNCTION("IMPORTRANGE(""https://docs.google.com/spreadsheets/d/1kVcqe37tkHyjCSG3S0O1AXqVkqjo8mSIZil3BcpIysc/edit?usp=sharing"",""ศูนย์!D18"")"),1760)</f>
        <v>1760</v>
      </c>
      <c r="K338" s="466">
        <f ca="1">IF(I338&gt;0,J338*100/I338,0)</f>
        <v>50.285714285714285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IFERROR(__xludf.DUMMYFUNCTION("IMPORTRANGE(""https://docs.google.com/spreadsheets/d/1QqKyyYR6Q21VydFLVH3TRQUabQu_ym0Zz7PgGX0-kHA/edit?usp=sharing"",""แผน!EH18"")"),7)</f>
        <v>7</v>
      </c>
      <c r="J340" s="270">
        <f ca="1">IFERROR(__xludf.DUMMYFUNCTION("IMPORTRANGE(""https://docs.google.com/spreadsheets/d/1kVcqe37tkHyjCSG3S0O1AXqVkqjo8mSIZil3BcpIysc/edit?usp=sharing"",""ศูนย์!E18"")"),5)</f>
        <v>5</v>
      </c>
      <c r="K340" s="466">
        <f ca="1">IF(I340&gt;0,J340*100/I340,0)</f>
        <v>71.428571428571431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IFERROR(__xludf.DUMMYFUNCTION("IMPORTRANGE(""https://docs.google.com/spreadsheets/d/1kVcqe37tkHyjCSG3S0O1AXqVkqjo8mSIZil3BcpIysc/edit?usp=sharing"",""ศูนย์!F18"")"),251)</f>
        <v>251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IFERROR(__xludf.DUMMYFUNCTION("IMPORTRANGE(""https://docs.google.com/spreadsheets/d/1kVcqe37tkHyjCSG3S0O1AXqVkqjo8mSIZil3BcpIysc/edit?usp=sharing"",""ศูนย์!G18"")"),4)</f>
        <v>4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IFERROR(__xludf.DUMMYFUNCTION("IMPORTRANGE(""https://docs.google.com/spreadsheets/d/1kVcqe37tkHyjCSG3S0O1AXqVkqjo8mSIZil3BcpIysc/edit?usp=sharing"",""ศูนย์!H18"")"),0)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4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809950</v>
      </c>
      <c r="M345" s="155">
        <f t="shared" ca="1" si="155"/>
        <v>530670</v>
      </c>
      <c r="N345" s="155">
        <f t="shared" ca="1" si="155"/>
        <v>350130</v>
      </c>
      <c r="O345" s="155">
        <f t="shared" ref="O345:O353" ca="1" si="156">IF(L345&gt;0,N345*100/L345,0)</f>
        <v>43.2285943576764</v>
      </c>
      <c r="P345" s="155">
        <f t="shared" ref="P345:P353" ca="1" si="157">IF(M345&gt;0,N345*100/M345,0)</f>
        <v>65.978856916727906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809950</v>
      </c>
      <c r="M347" s="93">
        <f t="shared" ca="1" si="158"/>
        <v>530670</v>
      </c>
      <c r="N347" s="93">
        <f t="shared" ca="1" si="158"/>
        <v>350130</v>
      </c>
      <c r="O347" s="93">
        <f t="shared" ca="1" si="156"/>
        <v>43.2285943576764</v>
      </c>
      <c r="P347" s="93">
        <f t="shared" ca="1" si="157"/>
        <v>65.978856916727906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59">L349+L350</f>
        <v>638950</v>
      </c>
      <c r="M348" s="466">
        <f t="shared" ca="1" si="159"/>
        <v>373470</v>
      </c>
      <c r="N348" s="466">
        <f t="shared" ca="1" si="159"/>
        <v>192930</v>
      </c>
      <c r="O348" s="466">
        <f t="shared" ca="1" si="156"/>
        <v>30.194850927302607</v>
      </c>
      <c r="P348" s="466">
        <f t="shared" ca="1" si="157"/>
        <v>51.658767772511851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IFERROR(__xludf.DUMMYFUNCTION("IMPORTRANGE(""https://docs.google.com/spreadsheets/d/1MeEWN-I1oV_STSDYn1IFDPWt_1FKiwhDph83XaGc0o0/edit?usp=sharing"",""งบพรบ!EW18"")"),638950)</f>
        <v>638950</v>
      </c>
      <c r="M350" s="93">
        <f ca="1">IFERROR(__xludf.DUMMYFUNCTION("IMPORTRANGE(""https://docs.google.com/spreadsheets/d/1MeEWN-I1oV_STSDYn1IFDPWt_1FKiwhDph83XaGc0o0/edit?usp=sharing"",""งบพรบ!FB18"")"),373470)</f>
        <v>373470</v>
      </c>
      <c r="N350" s="93">
        <f ca="1">IFERROR(__xludf.DUMMYFUNCTION("IMPORTRANGE(""https://docs.google.com/spreadsheets/d/1MeEWN-I1oV_STSDYn1IFDPWt_1FKiwhDph83XaGc0o0/edit?usp=sharing"",""งบพรบ!FD18"")"),192930)</f>
        <v>192930</v>
      </c>
      <c r="O350" s="93">
        <f t="shared" ca="1" si="156"/>
        <v>30.194850927302607</v>
      </c>
      <c r="P350" s="93">
        <f t="shared" ca="1" si="157"/>
        <v>51.658767772511851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171000</v>
      </c>
      <c r="M351" s="466">
        <f t="shared" ca="1" si="160"/>
        <v>157200</v>
      </c>
      <c r="N351" s="466">
        <f t="shared" ca="1" si="160"/>
        <v>157200</v>
      </c>
      <c r="O351" s="466">
        <f t="shared" ca="1" si="156"/>
        <v>91.929824561403507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IFERROR(__xludf.DUMMYFUNCTION("IMPORTRANGE(""https://docs.google.com/spreadsheets/d/1MeEWN-I1oV_STSDYn1IFDPWt_1FKiwhDph83XaGc0o0/edit?usp=sharing"",""งบพรบ!EZ18"")"),171000)</f>
        <v>171000</v>
      </c>
      <c r="M353" s="93">
        <f ca="1">IFERROR(__xludf.DUMMYFUNCTION("IMPORTRANGE(""https://docs.google.com/spreadsheets/d/1MeEWN-I1oV_STSDYn1IFDPWt_1FKiwhDph83XaGc0o0/edit?usp=sharing"",""งบพรบ!FC18"")"),157200)</f>
        <v>157200</v>
      </c>
      <c r="N353" s="93">
        <f ca="1">IFERROR(__xludf.DUMMYFUNCTION("IMPORTRANGE(""https://docs.google.com/spreadsheets/d/1MeEWN-I1oV_STSDYn1IFDPWt_1FKiwhDph83XaGc0o0/edit?usp=sharing"",""งบพรบ!FE18"")"),157200)</f>
        <v>157200</v>
      </c>
      <c r="O353" s="93">
        <f t="shared" ca="1" si="156"/>
        <v>91.929824561403507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IFERROR(__xludf.DUMMYFUNCTION("IMPORTRANGE(""https://docs.google.com/spreadsheets/d/1QqKyyYR6Q21VydFLVH3TRQUabQu_ym0Zz7PgGX0-kHA/edit?usp=sharing"",""แผน!EP18"")"),380)</f>
        <v>380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IFERROR(__xludf.DUMMYFUNCTION("IMPORTRANGE(""https://docs.google.com/spreadsheets/d/1XWAQStnk-4SwqDmLtmXYiTMKHgktTP8We1SCoS47DrQ/edit?usp=sharing"",""จัดที่ดิน!W18"")"),132)</f>
        <v>132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IFERROR(__xludf.DUMMYFUNCTION("IMPORTRANGE(""https://docs.google.com/spreadsheets/d/1QqKyyYR6Q21VydFLVH3TRQUabQu_ym0Zz7PgGX0-kHA/edit?usp=sharing"",""แผน!EO18"")"),3500)</f>
        <v>3500</v>
      </c>
      <c r="J359" s="270">
        <f ca="1">IFERROR(__xludf.DUMMYFUNCTION("IMPORTRANGE(""https://docs.google.com/spreadsheets/d/1XWAQStnk-4SwqDmLtmXYiTMKHgktTP8We1SCoS47DrQ/edit?usp=sharing"",""จัดที่ดิน!X18"")"),1315.69)</f>
        <v>1315.69</v>
      </c>
      <c r="K359" s="466">
        <f t="shared" ca="1" si="161"/>
        <v>37.591142857142856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IFERROR(__xludf.DUMMYFUNCTION("IMPORTRANGE(""https://docs.google.com/spreadsheets/d/1QqKyyYR6Q21VydFLVH3TRQUabQu_ym0Zz7PgGX0-kHA/edit?usp=sharing"",""แผน!EP18"")"),380)</f>
        <v>380</v>
      </c>
      <c r="J360" s="270">
        <f ca="1">IFERROR(__xludf.DUMMYFUNCTION("IMPORTRANGE(""https://docs.google.com/spreadsheets/d/1XWAQStnk-4SwqDmLtmXYiTMKHgktTP8We1SCoS47DrQ/edit?usp=sharing"",""จัดที่ดิน!Y18"")"),0)</f>
        <v>0</v>
      </c>
      <c r="K360" s="466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IFERROR(__xludf.DUMMYFUNCTION("IMPORTRANGE(""https://docs.google.com/spreadsheets/d/1XWAQStnk-4SwqDmLtmXYiTMKHgktTP8We1SCoS47DrQ/edit?usp=sharing"",""จัดที่ดิน!Z18"")"),0)</f>
        <v>0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IFERROR(__xludf.DUMMYFUNCTION("IMPORTRANGE(""https://docs.google.com/spreadsheets/d/1QqKyyYR6Q21VydFLVH3TRQUabQu_ym0Zz7PgGX0-kHA/edit?usp=sharing"",""แผน!EP18"")"),380)</f>
        <v>380</v>
      </c>
      <c r="J362" s="270">
        <f ca="1">IFERROR(__xludf.DUMMYFUNCTION("IMPORTRANGE(""https://docs.google.com/spreadsheets/d/1XWAQStnk-4SwqDmLtmXYiTMKHgktTP8We1SCoS47DrQ/edit?usp=sharing"",""จัดที่ดิน!AA18"")"),0)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IFERROR(__xludf.DUMMYFUNCTION("IMPORTRANGE(""https://docs.google.com/spreadsheets/d/1XWAQStnk-4SwqDmLtmXYiTMKHgktTP8We1SCoS47DrQ/edit?usp=sharing"",""จัดที่ดิน!AB18"")"),0)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780</v>
      </c>
      <c r="J364" s="447">
        <f t="shared" ca="1" si="162"/>
        <v>2</v>
      </c>
      <c r="K364" s="448">
        <f t="shared" ca="1" si="161"/>
        <v>0.25641025641025639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IFERROR(__xludf.DUMMYFUNCTION("IMPORTRANGE(""https://docs.google.com/spreadsheets/d/1QqKyyYR6Q21VydFLVH3TRQUabQu_ym0Zz7PgGX0-kHA/edit?usp=sharing"",""แผน!EJ18"")"),200)</f>
        <v>200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IFERROR(__xludf.DUMMYFUNCTION("IMPORTRANGE(""https://docs.google.com/spreadsheets/d/1XWAQStnk-4SwqDmLtmXYiTMKHgktTP8We1SCoS47DrQ/edit?usp=sharing"",""จัดที่ดิน!E18"")"),40)</f>
        <v>40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IFERROR(__xludf.DUMMYFUNCTION("IMPORTRANGE(""https://docs.google.com/spreadsheets/d/1QqKyyYR6Q21VydFLVH3TRQUabQu_ym0Zz7PgGX0-kHA/edit?usp=sharing"",""แผน!EI18"")"),2000)</f>
        <v>2000</v>
      </c>
      <c r="J369" s="270">
        <f ca="1">IFERROR(__xludf.DUMMYFUNCTION("IMPORTRANGE(""https://docs.google.com/spreadsheets/d/1XWAQStnk-4SwqDmLtmXYiTMKHgktTP8We1SCoS47DrQ/edit?usp=sharing"",""จัดที่ดิน!F18"")"),359.79)</f>
        <v>359.79</v>
      </c>
      <c r="K369" s="466">
        <f t="shared" ca="1" si="163"/>
        <v>17.9895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IFERROR(__xludf.DUMMYFUNCTION("IMPORTRANGE(""https://docs.google.com/spreadsheets/d/1QqKyyYR6Q21VydFLVH3TRQUabQu_ym0Zz7PgGX0-kHA/edit?usp=sharing"",""แผน!EJ18"")"),200)</f>
        <v>200</v>
      </c>
      <c r="J370" s="270">
        <f ca="1">IFERROR(__xludf.DUMMYFUNCTION("IMPORTRANGE(""https://docs.google.com/spreadsheets/d/1XWAQStnk-4SwqDmLtmXYiTMKHgktTP8We1SCoS47DrQ/edit?usp=sharing"",""จัดที่ดิน!G18"")"),0)</f>
        <v>0</v>
      </c>
      <c r="K370" s="466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IFERROR(__xludf.DUMMYFUNCTION("IMPORTRANGE(""https://docs.google.com/spreadsheets/d/1XWAQStnk-4SwqDmLtmXYiTMKHgktTP8We1SCoS47DrQ/edit?usp=sharing"",""จัดที่ดิน!H18"")"),0)</f>
        <v>0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IFERROR(__xludf.DUMMYFUNCTION("IMPORTRANGE(""https://docs.google.com/spreadsheets/d/1QqKyyYR6Q21VydFLVH3TRQUabQu_ym0Zz7PgGX0-kHA/edit?usp=sharing"",""แผน!EJ18"")"),200)</f>
        <v>200</v>
      </c>
      <c r="J372" s="270">
        <f ca="1">IFERROR(__xludf.DUMMYFUNCTION("IMPORTRANGE(""https://docs.google.com/spreadsheets/d/1XWAQStnk-4SwqDmLtmXYiTMKHgktTP8We1SCoS47DrQ/edit?usp=sharing"",""จัดที่ดิน!I18"")"),0)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IFERROR(__xludf.DUMMYFUNCTION("IMPORTRANGE(""https://docs.google.com/spreadsheets/d/1XWAQStnk-4SwqDmLtmXYiTMKHgktTP8We1SCoS47DrQ/edit?usp=sharing"",""จัดที่ดิน!J18"")"),0)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IFERROR(__xludf.DUMMYFUNCTION("IMPORTRANGE(""https://docs.google.com/spreadsheets/d/1QqKyyYR6Q21VydFLVH3TRQUabQu_ym0Zz7PgGX0-kHA/edit?usp=sharing"",""แผน!EU18"")"),580)</f>
        <v>580</v>
      </c>
      <c r="J374" s="459">
        <f ca="1">J381</f>
        <v>2</v>
      </c>
      <c r="K374" s="460">
        <f t="shared" ca="1" si="163"/>
        <v>0.34482758620689657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IFERROR(__xludf.DUMMYFUNCTION("IMPORTRANGE(""https://docs.google.com/spreadsheets/d/1XWAQStnk-4SwqDmLtmXYiTMKHgktTP8We1SCoS47DrQ/edit?usp=sharing"",""จัดที่ดิน!AH18"")"),92)</f>
        <v>92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IFERROR(__xludf.DUMMYFUNCTION("IMPORTRANGE(""https://docs.google.com/spreadsheets/d/1QqKyyYR6Q21VydFLVH3TRQUabQu_ym0Zz7PgGX0-kHA/edit?usp=sharing"",""แผน!ET18"")"),1500)</f>
        <v>1500</v>
      </c>
      <c r="J378" s="270">
        <f ca="1">IFERROR(__xludf.DUMMYFUNCTION("IMPORTRANGE(""https://docs.google.com/spreadsheets/d/1XWAQStnk-4SwqDmLtmXYiTMKHgktTP8We1SCoS47DrQ/edit?usp=sharing"",""จัดที่ดิน!AI18"")"),955.9)</f>
        <v>955.9</v>
      </c>
      <c r="K378" s="466">
        <f t="shared" ca="1" si="164"/>
        <v>63.726666666666667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IFERROR(__xludf.DUMMYFUNCTION("IMPORTRANGE(""https://docs.google.com/spreadsheets/d/1QqKyyYR6Q21VydFLVH3TRQUabQu_ym0Zz7PgGX0-kHA/edit?usp=sharing"",""แผน!EU18"")"),580)</f>
        <v>580</v>
      </c>
      <c r="J379" s="270">
        <f ca="1">IFERROR(__xludf.DUMMYFUNCTION("IMPORTRANGE(""https://docs.google.com/spreadsheets/d/1XWAQStnk-4SwqDmLtmXYiTMKHgktTP8We1SCoS47DrQ/edit?usp=sharing"",""จัดที่ดิน!AJ18"")"),2)</f>
        <v>2</v>
      </c>
      <c r="K379" s="466">
        <f t="shared" ca="1" si="164"/>
        <v>0.34482758620689657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IFERROR(__xludf.DUMMYFUNCTION("IMPORTRANGE(""https://docs.google.com/spreadsheets/d/1XWAQStnk-4SwqDmLtmXYiTMKHgktTP8We1SCoS47DrQ/edit?usp=sharing"",""จัดที่ดิน!AK18"")"),47.77)</f>
        <v>47.77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IFERROR(__xludf.DUMMYFUNCTION("IMPORTRANGE(""https://docs.google.com/spreadsheets/d/1QqKyyYR6Q21VydFLVH3TRQUabQu_ym0Zz7PgGX0-kHA/edit?usp=sharing"",""แผน!EU18"")"),580)</f>
        <v>580</v>
      </c>
      <c r="J381" s="270">
        <f ca="1">IFERROR(__xludf.DUMMYFUNCTION("IMPORTRANGE(""https://docs.google.com/spreadsheets/d/1XWAQStnk-4SwqDmLtmXYiTMKHgktTP8We1SCoS47DrQ/edit?usp=sharing"",""จัดที่ดิน!AL18"")"),2)</f>
        <v>2</v>
      </c>
      <c r="K381" s="466">
        <f t="shared" ca="1" si="164"/>
        <v>0.34482758620689657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IFERROR(__xludf.DUMMYFUNCTION("IMPORTRANGE(""https://docs.google.com/spreadsheets/d/1XWAQStnk-4SwqDmLtmXYiTMKHgktTP8We1SCoS47DrQ/edit?usp=sharing"",""จัดที่ดิน!AM18"")"),47.77)</f>
        <v>47.77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IFERROR(__xludf.DUMMYFUNCTION("IMPORTRANGE(""https://docs.google.com/spreadsheets/d/1QqKyyYR6Q21VydFLVH3TRQUabQu_ym0Zz7PgGX0-kHA/edit?usp=sharing"",""แผน!EW18"")"),100)</f>
        <v>100</v>
      </c>
      <c r="J385" s="469">
        <f ca="1">IFERROR(__xludf.DUMMYFUNCTION("IMPORTRANGE(""https://docs.google.com/spreadsheets/d/1XWAQStnk-4SwqDmLtmXYiTMKHgktTP8We1SCoS47DrQ/edit?usp=sharing"",""จัดที่ดิน!AP18"")"),0)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4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IFERROR(__xludf.DUMMYFUNCTION("IMPORTRANGE(""https://docs.google.com/spreadsheets/d/1MeEWN-I1oV_STSDYn1IFDPWt_1FKiwhDph83XaGc0o0/edit?usp=sharing"",""งบพรบ!FG18"")"),0)</f>
        <v>0</v>
      </c>
      <c r="M394" s="93">
        <f ca="1">IFERROR(__xludf.DUMMYFUNCTION("IMPORTRANGE(""https://docs.google.com/spreadsheets/d/1MeEWN-I1oV_STSDYn1IFDPWt_1FKiwhDph83XaGc0o0/edit?usp=sharing"",""งบพรบ!FL18"")"),0)</f>
        <v>0</v>
      </c>
      <c r="N394" s="93">
        <f ca="1">IFERROR(__xludf.DUMMYFUNCTION("IMPORTRANGE(""https://docs.google.com/spreadsheets/d/1MeEWN-I1oV_STSDYn1IFDPWt_1FKiwhDph83XaGc0o0/edit?usp=sharing"",""งบพรบ!FN18"")"),0)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IFERROR(__xludf.DUMMYFUNCTION("IMPORTRANGE(""https://docs.google.com/spreadsheets/d/1MeEWN-I1oV_STSDYn1IFDPWt_1FKiwhDph83XaGc0o0/edit?usp=sharing"",""งบพรบ!FJ18"")"),0)</f>
        <v>0</v>
      </c>
      <c r="M397" s="93">
        <f ca="1">IFERROR(__xludf.DUMMYFUNCTION("IMPORTRANGE(""https://docs.google.com/spreadsheets/d/1MeEWN-I1oV_STSDYn1IFDPWt_1FKiwhDph83XaGc0o0/edit?usp=sharing"",""งบพรบ!FM18"")"),0)</f>
        <v>0</v>
      </c>
      <c r="N397" s="93">
        <f ca="1">IFERROR(__xludf.DUMMYFUNCTION("IMPORTRANGE(""https://docs.google.com/spreadsheets/d/1MeEWN-I1oV_STSDYn1IFDPWt_1FKiwhDph83XaGc0o0/edit?usp=sharing"",""งบพรบ!FO18"")"),0)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4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IFERROR(__xludf.DUMMYFUNCTION("IMPORTRANGE(""https://docs.google.com/spreadsheets/d/1MeEWN-I1oV_STSDYn1IFDPWt_1FKiwhDph83XaGc0o0/edit?usp=sharing"",""งบพรบ!FQ18"")"),0)</f>
        <v>0</v>
      </c>
      <c r="M407" s="93">
        <f ca="1">IFERROR(__xludf.DUMMYFUNCTION("IMPORTRANGE(""https://docs.google.com/spreadsheets/d/1MeEWN-I1oV_STSDYn1IFDPWt_1FKiwhDph83XaGc0o0/edit?usp=sharing"",""งบพรบ!FV18"")"),0)</f>
        <v>0</v>
      </c>
      <c r="N407" s="93">
        <f ca="1">IFERROR(__xludf.DUMMYFUNCTION("IMPORTRANGE(""https://docs.google.com/spreadsheets/d/1MeEWN-I1oV_STSDYn1IFDPWt_1FKiwhDph83XaGc0o0/edit?usp=sharing"",""งบพรบ!FX18"")"),0)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IFERROR(__xludf.DUMMYFUNCTION("IMPORTRANGE(""https://docs.google.com/spreadsheets/d/1MeEWN-I1oV_STSDYn1IFDPWt_1FKiwhDph83XaGc0o0/edit?usp=sharing"",""งบพรบ!FT18"")"),0)</f>
        <v>0</v>
      </c>
      <c r="M410" s="93">
        <f ca="1">IFERROR(__xludf.DUMMYFUNCTION("IMPORTRANGE(""https://docs.google.com/spreadsheets/d/1MeEWN-I1oV_STSDYn1IFDPWt_1FKiwhDph83XaGc0o0/edit?usp=sharing"",""งบพรบ!FW18"")"),0)</f>
        <v>0</v>
      </c>
      <c r="N410" s="93">
        <f ca="1">IFERROR(__xludf.DUMMYFUNCTION("IMPORTRANGE(""https://docs.google.com/spreadsheets/d/1MeEWN-I1oV_STSDYn1IFDPWt_1FKiwhDph83XaGc0o0/edit?usp=sharing"",""งบพรบ!FY18"")"),0)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3349561</v>
      </c>
      <c r="M414" s="517">
        <f t="shared" si="181"/>
        <v>0</v>
      </c>
      <c r="N414" s="517">
        <f t="shared" si="181"/>
        <v>595397.69999999995</v>
      </c>
      <c r="O414" s="517">
        <f ca="1">IF(L414&gt;0,N414*100/L414,0)</f>
        <v>17.775395044305803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70</v>
      </c>
      <c r="J417" s="533">
        <f t="shared" ca="1" si="182"/>
        <v>70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2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234110</v>
      </c>
      <c r="M419" s="155">
        <f t="shared" si="184"/>
        <v>0</v>
      </c>
      <c r="N419" s="155">
        <f t="shared" si="184"/>
        <v>178900</v>
      </c>
      <c r="O419" s="155">
        <f t="shared" ref="O419:O424" ca="1" si="185">IF(L419&gt;0,N419*100/L419,0)</f>
        <v>76.417068899235403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234110</v>
      </c>
      <c r="M421" s="93">
        <f t="shared" si="187"/>
        <v>0</v>
      </c>
      <c r="N421" s="93">
        <f t="shared" si="187"/>
        <v>178900</v>
      </c>
      <c r="O421" s="93">
        <f t="shared" ca="1" si="185"/>
        <v>76.417068899235403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8">L423+L424</f>
        <v>234110</v>
      </c>
      <c r="M422" s="466">
        <f t="shared" si="188"/>
        <v>0</v>
      </c>
      <c r="N422" s="466">
        <f t="shared" si="188"/>
        <v>178900</v>
      </c>
      <c r="O422" s="466">
        <f t="shared" ca="1" si="185"/>
        <v>76.417068899235403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IFERROR(__xludf.DUMMYFUNCTION("IMPORTRANGE(""https://docs.google.com/spreadsheets/d/1QqKyyYR6Q21VydFLVH3TRQUabQu_ym0Zz7PgGX0-kHA/edit?usp=sharing"",""แผน!EY18"")"),234110)</f>
        <v>234110</v>
      </c>
      <c r="M424" s="93">
        <v>0</v>
      </c>
      <c r="N424" s="93">
        <f>N425+N426+N427+N428</f>
        <v>178900</v>
      </c>
      <c r="O424" s="93">
        <f t="shared" ca="1" si="185"/>
        <v>76.417068899235403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v>155540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f>5360+18000</f>
        <v>23360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70</v>
      </c>
      <c r="J433" s="648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t="shared" ref="I434:J434" ca="1" si="193">I438+I440</f>
        <v>2</v>
      </c>
      <c r="J434" s="648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IFERROR(__xludf.DUMMYFUNCTION("IMPORTRANGE(""https://docs.google.com/spreadsheets/d/1QqKyyYR6Q21VydFLVH3TRQUabQu_ym0Zz7PgGX0-kHA/edit?usp=sharing"",""แผน!FC18"")"),70)</f>
        <v>70</v>
      </c>
      <c r="J435" s="549">
        <v>70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IFERROR(__xludf.DUMMYFUNCTION("IMPORTRANGE(""https://docs.google.com/spreadsheets/d/1QqKyyYR6Q21VydFLVH3TRQUabQu_ym0Zz7PgGX0-kHA/edit?usp=sharing"",""แผน!FD18"")"),50)</f>
        <v>50</v>
      </c>
      <c r="J437" s="549">
        <v>50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IFERROR(__xludf.DUMMYFUNCTION("IMPORTRANGE(""https://docs.google.com/spreadsheets/d/1QqKyyYR6Q21VydFLVH3TRQUabQu_ym0Zz7PgGX0-kHA/edit?usp=sharing"",""แผน!FE18"")"),1)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IFERROR(__xludf.DUMMYFUNCTION("IMPORTRANGE(""https://docs.google.com/spreadsheets/d/1QqKyyYR6Q21VydFLVH3TRQUabQu_ym0Zz7PgGX0-kHA/edit?usp=sharing"",""แผน!FF18"")"),20)</f>
        <v>20</v>
      </c>
      <c r="J439" s="549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IFERROR(__xludf.DUMMYFUNCTION("IMPORTRANGE(""https://docs.google.com/spreadsheets/d/1QqKyyYR6Q21VydFLVH3TRQUabQu_ym0Zz7PgGX0-kHA/edit?usp=sharing"",""แผน!FG18"")"),1)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IFERROR(__xludf.DUMMYFUNCTION("IMPORTRANGE(""https://docs.google.com/spreadsheets/d/1QqKyyYR6Q21VydFLVH3TRQUabQu_ym0Zz7PgGX0-kHA/edit?usp=sharing"",""แผน!FH18"")"),0)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40</v>
      </c>
      <c r="J442" s="555">
        <f t="shared" si="195"/>
        <v>40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80</v>
      </c>
      <c r="J443" s="533">
        <f t="shared" si="196"/>
        <v>80</v>
      </c>
      <c r="K443" s="534">
        <f t="shared" ca="1" si="194"/>
        <v>100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355492</v>
      </c>
      <c r="M444" s="195">
        <f t="shared" si="197"/>
        <v>0</v>
      </c>
      <c r="N444" s="195">
        <f t="shared" si="197"/>
        <v>99780</v>
      </c>
      <c r="O444" s="195">
        <f t="shared" ref="O444:O449" ca="1" si="198">IF(L444&gt;0,N444*100/L444,0)</f>
        <v>28.06814218041475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0"/>
        <v>355492</v>
      </c>
      <c r="M446" s="93">
        <f t="shared" si="200"/>
        <v>0</v>
      </c>
      <c r="N446" s="93">
        <f t="shared" si="200"/>
        <v>99780</v>
      </c>
      <c r="O446" s="93">
        <f t="shared" ca="1" si="198"/>
        <v>28.06814218041475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1">L448+L449</f>
        <v>355492</v>
      </c>
      <c r="M447" s="466">
        <f t="shared" si="201"/>
        <v>0</v>
      </c>
      <c r="N447" s="466">
        <f t="shared" si="201"/>
        <v>99780</v>
      </c>
      <c r="O447" s="466">
        <f t="shared" ca="1" si="198"/>
        <v>28.06814218041475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IFERROR(__xludf.DUMMYFUNCTION("IMPORTRANGE(""https://docs.google.com/spreadsheets/d/1QqKyyYR6Q21VydFLVH3TRQUabQu_ym0Zz7PgGX0-kHA/edit?usp=sharing"",""แผน!FJ18"")"),355492)</f>
        <v>355492</v>
      </c>
      <c r="M449" s="93">
        <v>0</v>
      </c>
      <c r="N449" s="93">
        <f>N450+N451+N452+N453</f>
        <v>99780</v>
      </c>
      <c r="O449" s="93">
        <f t="shared" ca="1" si="198"/>
        <v>28.06814218041475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v>45620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v>39000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f>15160</f>
        <v>15160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IFERROR(__xludf.DUMMYFUNCTION("IMPORTRANGE(""https://docs.google.com/spreadsheets/d/1QqKyyYR6Q21VydFLVH3TRQUabQu_ym0Zz7PgGX0-kHA/edit?usp=sharing"",""แผน!FN18"")"),40)</f>
        <v>40</v>
      </c>
      <c r="J460" s="215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IFERROR(__xludf.DUMMYFUNCTION("IMPORTRANGE(""https://docs.google.com/spreadsheets/d/1QqKyyYR6Q21VydFLVH3TRQUabQu_ym0Zz7PgGX0-kHA/edit?usp=sharing"",""แผน!FO18"")"),80)</f>
        <v>80</v>
      </c>
      <c r="J462" s="215">
        <v>80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IFERROR(__xludf.DUMMYFUNCTION("IMPORTRANGE(""https://docs.google.com/spreadsheets/d/1QqKyyYR6Q21VydFLVH3TRQUabQu_ym0Zz7PgGX0-kHA/edit?usp=sharing"",""แผน!FO18"")"),80)</f>
        <v>80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IFERROR(__xludf.DUMMYFUNCTION("IMPORTRANGE(""https://docs.google.com/spreadsheets/d/1QqKyyYR6Q21VydFLVH3TRQUabQu_ym0Zz7PgGX0-kHA/edit?usp=sharing"",""แผน!FN18"")"),40)</f>
        <v>40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IFERROR(__xludf.DUMMYFUNCTION("IMPORTRANGE(""https://docs.google.com/spreadsheets/d/1QqKyyYR6Q21VydFLVH3TRQUabQu_ym0Zz7PgGX0-kHA/edit?usp=sharing"",""แผน!FX18"")"),131)</f>
        <v>131</v>
      </c>
      <c r="J465" s="555">
        <f>J485+J489+J492</f>
        <v>131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IFERROR(__xludf.DUMMYFUNCTION("IMPORTRANGE(""https://docs.google.com/spreadsheets/d/1QqKyyYR6Q21VydFLVH3TRQUabQu_ym0Zz7PgGX0-kHA/edit?usp=sharing"",""แผน!FW18"")"),1300)</f>
        <v>1300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1167118</v>
      </c>
      <c r="M467" s="195">
        <f t="shared" si="206"/>
        <v>0</v>
      </c>
      <c r="N467" s="195">
        <f t="shared" si="206"/>
        <v>125329</v>
      </c>
      <c r="O467" s="195">
        <f t="shared" ref="O467:O472" ca="1" si="207">IF(L467&gt;0,N467*100/L467,0)</f>
        <v>10.73833151403714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09"/>
        <v>1167118</v>
      </c>
      <c r="M469" s="93">
        <f t="shared" si="209"/>
        <v>0</v>
      </c>
      <c r="N469" s="93">
        <f t="shared" si="209"/>
        <v>125329</v>
      </c>
      <c r="O469" s="93">
        <f t="shared" ca="1" si="207"/>
        <v>10.73833151403714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0">L471+L472</f>
        <v>1167118</v>
      </c>
      <c r="M470" s="466">
        <f t="shared" si="210"/>
        <v>0</v>
      </c>
      <c r="N470" s="466">
        <f t="shared" si="210"/>
        <v>125329</v>
      </c>
      <c r="O470" s="466">
        <f t="shared" ca="1" si="207"/>
        <v>10.73833151403714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IFERROR(__xludf.DUMMYFUNCTION("IMPORTRANGE(""https://docs.google.com/spreadsheets/d/1QqKyyYR6Q21VydFLVH3TRQUabQu_ym0Zz7PgGX0-kHA/edit?usp=sharing"",""แผน!FS18"")"),1167118)</f>
        <v>1167118</v>
      </c>
      <c r="M472" s="93">
        <v>0</v>
      </c>
      <c r="N472" s="93">
        <f>N473+N474+N475+N476</f>
        <v>125329</v>
      </c>
      <c r="O472" s="93">
        <f t="shared" ca="1" si="207"/>
        <v>10.73833151403714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>
        <f>70010+7340</f>
        <v>77350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/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f>9093+13000+12566</f>
        <v>34659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f>13320</f>
        <v>13320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IFERROR(__xludf.DUMMYFUNCTION("IMPORTRANGE(""https://docs.google.com/spreadsheets/d/1QqKyyYR6Q21VydFLVH3TRQUabQu_ym0Zz7PgGX0-kHA/edit?usp=sharing"",""แผน!FY18"")"),1170)</f>
        <v>1170</v>
      </c>
      <c r="J483" s="215">
        <v>0</v>
      </c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IFERROR(__xludf.DUMMYFUNCTION("IMPORTRANGE(""https://docs.google.com/spreadsheets/d/1QqKyyYR6Q21VydFLVH3TRQUabQu_ym0Zz7PgGX0-kHA/edit?usp=sharing"",""แผน!FZ18"")"),117)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IFERROR(__xludf.DUMMYFUNCTION("IMPORTRANGE(""https://docs.google.com/spreadsheets/d/1QqKyyYR6Q21VydFLVH3TRQUabQu_ym0Zz7PgGX0-kHA/edit?usp=sharing"",""แผน!GA18"")"),130)</f>
        <v>130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IFERROR(__xludf.DUMMYFUNCTION("IMPORTRANGE(""https://docs.google.com/spreadsheets/d/1QqKyyYR6Q21VydFLVH3TRQUabQu_ym0Zz7PgGX0-kHA/edit?usp=sharing"",""แผน!GB18"")"),13)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IFERROR(__xludf.DUMMYFUNCTION("IMPORTRANGE(""https://docs.google.com/spreadsheets/d/1QqKyyYR6Q21VydFLVH3TRQUabQu_ym0Zz7PgGX0-kHA/edit?usp=sharing"",""แผน!GC18"")"),1)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IFERROR(__xludf.DUMMYFUNCTION("IMPORTRANGE(""https://docs.google.com/spreadsheets/d/1QqKyyYR6Q21VydFLVH3TRQUabQu_ym0Zz7PgGX0-kHA/edit?usp=sharing"",""แผน!FY18"")"),1170)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IFERROR(__xludf.DUMMYFUNCTION("IMPORTRANGE(""https://docs.google.com/spreadsheets/d/1QqKyyYR6Q21VydFLVH3TRQUabQu_ym0Zz7PgGX0-kHA/edit?usp=sharing"",""แผน!GA18"")"),130)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6">L503+L504</f>
        <v>0</v>
      </c>
      <c r="M502" s="614">
        <f t="shared" si="216"/>
        <v>0</v>
      </c>
      <c r="N502" s="614">
        <f t="shared" si="216"/>
        <v>0</v>
      </c>
      <c r="O502" s="614">
        <f t="shared" ref="O502:O507" si="217">IF(L502&gt;0,N502*100/L502,0)</f>
        <v>0</v>
      </c>
      <c r="P502" s="614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6"/>
      <c r="D505" s="853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853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 hidden="1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5">I537</f>
        <v>0</v>
      </c>
      <c r="J522" s="675">
        <f t="shared" ca="1" si="225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IFERROR(__xludf.DUMMYFUNCTION("IMPORTRANGE(""https://docs.google.com/spreadsheets/d/1QqKyyYR6Q21VydFLVH3TRQUabQu_ym0Zz7PgGX0-kHA/edit?usp=sharing"",""แผน!GQ18"")"),0)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IFERROR(__xludf.DUMMYFUNCTION("IMPORTRANGE(""https://docs.google.com/spreadsheets/d/1QqKyyYR6Q21VydFLVH3TRQUabQu_ym0Zz7PgGX0-kHA/edit?usp=sharing"",""แผน!GU18"")"),0)</f>
        <v>0</v>
      </c>
      <c r="J537" s="648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 hidden="1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IFERROR(__xludf.DUMMYFUNCTION("IMPORTRANGE(""https://docs.google.com/spreadsheets/d/1QqKyyYR6Q21VydFLVH3TRQUabQu_ym0Zz7PgGX0-kHA/edit?usp=sharing"",""แผน!GV18"")"),0)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 hidden="1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IFERROR(__xludf.DUMMYFUNCTION("IMPORTRANGE(""https://docs.google.com/spreadsheets/d/1QqKyyYR6Q21VydFLVH3TRQUabQu_ym0Zz7PgGX0-kHA/edit?usp=sharing"",""แผน!GW18"")"),0)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 hidden="1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IFERROR(__xludf.DUMMYFUNCTION("IMPORTRANGE(""https://docs.google.com/spreadsheets/d/1QqKyyYR6Q21VydFLVH3TRQUabQu_ym0Zz7PgGX0-kHA/edit?usp=sharing"",""แผน!GX18"")"),0)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 hidden="1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IFERROR(__xludf.DUMMYFUNCTION("IMPORTRANGE(""https://docs.google.com/spreadsheets/d/1QqKyyYR6Q21VydFLVH3TRQUabQu_ym0Zz7PgGX0-kHA/edit?usp=sharing"",""แผน!GY18"")"),0)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 hidden="1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IFERROR(__xludf.DUMMYFUNCTION("IMPORTRANGE(""https://docs.google.com/spreadsheets/d/1QqKyyYR6Q21VydFLVH3TRQUabQu_ym0Zz7PgGX0-kHA/edit?usp=sharing"",""แผน!GZ18"")"),0)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5">I559</f>
        <v>47776</v>
      </c>
      <c r="J543" s="654">
        <f t="shared" si="235"/>
        <v>0</v>
      </c>
      <c r="K543" s="655">
        <f t="shared" ca="1" si="234"/>
        <v>0</v>
      </c>
      <c r="L543" s="637"/>
      <c r="M543" s="637"/>
      <c r="N543" s="637"/>
      <c r="O543" s="637"/>
      <c r="P543" s="637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6">L545+L546</f>
        <v>412386</v>
      </c>
      <c r="M544" s="155">
        <f t="shared" si="236"/>
        <v>0</v>
      </c>
      <c r="N544" s="155">
        <f t="shared" si="236"/>
        <v>132467</v>
      </c>
      <c r="O544" s="155">
        <f t="shared" ref="O544:O549" ca="1" si="237">IF(L544&gt;0,N544*100/L544,0)</f>
        <v>32.122089498673574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39"/>
        <v>412386</v>
      </c>
      <c r="M546" s="93">
        <f t="shared" si="240"/>
        <v>0</v>
      </c>
      <c r="N546" s="93">
        <f t="shared" si="240"/>
        <v>132467</v>
      </c>
      <c r="O546" s="93">
        <f t="shared" ca="1" si="237"/>
        <v>32.122089498673574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1">L548+L549</f>
        <v>412386</v>
      </c>
      <c r="M547" s="466">
        <f t="shared" si="241"/>
        <v>0</v>
      </c>
      <c r="N547" s="466">
        <f t="shared" si="241"/>
        <v>132467</v>
      </c>
      <c r="O547" s="466">
        <f t="shared" ca="1" si="237"/>
        <v>32.122089498673574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IFERROR(__xludf.DUMMYFUNCTION("IMPORTRANGE(""https://docs.google.com/spreadsheets/d/1QqKyyYR6Q21VydFLVH3TRQUabQu_ym0Zz7PgGX0-kHA/edit?usp=sharing"",""แผน!HB18"")"),412386)</f>
        <v>412386</v>
      </c>
      <c r="M549" s="93">
        <v>0</v>
      </c>
      <c r="N549" s="93">
        <f>N550+N551+N552+N553+N554</f>
        <v>132467</v>
      </c>
      <c r="O549" s="93">
        <f t="shared" ca="1" si="237"/>
        <v>32.122089498673574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801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801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801">
        <f>11698+13000+13000</f>
        <v>37698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801">
        <f>55729+10040+12000+15000+2000</f>
        <v>94769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5">I576</f>
        <v>47776</v>
      </c>
      <c r="J559" s="675">
        <f t="shared" si="245"/>
        <v>0</v>
      </c>
      <c r="K559" s="644">
        <f t="shared" ref="K559:K561" ca="1" si="246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9"/>
      <c r="H560" s="734" t="s">
        <v>46</v>
      </c>
      <c r="I560" s="193">
        <f ca="1">IFERROR(__xludf.DUMMYFUNCTION("IMPORTRANGE(""https://docs.google.com/spreadsheets/d/1QqKyyYR6Q21VydFLVH3TRQUabQu_ym0Zz7PgGX0-kHA/edit?usp=sharing"",""แผน!HH18"")"),47776)</f>
        <v>47776</v>
      </c>
      <c r="J560" s="193">
        <f t="shared" ref="J560:J561" si="247">J562+J564+J566</f>
        <v>47776</v>
      </c>
      <c r="K560" s="380">
        <f t="shared" ca="1" si="246"/>
        <v>100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9"/>
      <c r="H561" s="734" t="s">
        <v>34</v>
      </c>
      <c r="I561" s="193">
        <f ca="1">IFERROR(__xludf.DUMMYFUNCTION("IMPORTRANGE(""https://docs.google.com/spreadsheets/d/1QqKyyYR6Q21VydFLVH3TRQUabQu_ym0Zz7PgGX0-kHA/edit?usp=sharing"",""แผน!HG18"")"),5415)</f>
        <v>5415</v>
      </c>
      <c r="J561" s="193">
        <f t="shared" si="247"/>
        <v>5415</v>
      </c>
      <c r="K561" s="380">
        <f t="shared" ca="1" si="246"/>
        <v>100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v>37681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v>4664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v>8502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v>582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v>1593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v>169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9"/>
      <c r="H568" s="734" t="s">
        <v>46</v>
      </c>
      <c r="I568" s="193">
        <f ca="1">IFERROR(__xludf.DUMMYFUNCTION("IMPORTRANGE(""https://docs.google.com/spreadsheets/d/1QqKyyYR6Q21VydFLVH3TRQUabQu_ym0Zz7PgGX0-kHA/edit?usp=sharing"",""แผน!HH18"")"),47776)</f>
        <v>47776</v>
      </c>
      <c r="J568" s="648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9"/>
      <c r="H569" s="734" t="s">
        <v>34</v>
      </c>
      <c r="I569" s="193">
        <f ca="1">IFERROR(__xludf.DUMMYFUNCTION("IMPORTRANGE(""https://docs.google.com/spreadsheets/d/1QqKyyYR6Q21VydFLVH3TRQUabQu_ym0Zz7PgGX0-kHA/edit?usp=sharing"",""แผน!HG18"")"),5415)</f>
        <v>5415</v>
      </c>
      <c r="J569" s="648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9"/>
      <c r="H576" s="734" t="s">
        <v>46</v>
      </c>
      <c r="I576" s="193">
        <f ca="1">IFERROR(__xludf.DUMMYFUNCTION("IMPORTRANGE(""https://docs.google.com/spreadsheets/d/1QqKyyYR6Q21VydFLVH3TRQUabQu_ym0Zz7PgGX0-kHA/edit?usp=sharing"",""แผน!HH18"")"),47776)</f>
        <v>47776</v>
      </c>
      <c r="J576" s="648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9"/>
      <c r="H577" s="734" t="s">
        <v>34</v>
      </c>
      <c r="I577" s="193">
        <f ca="1">IFERROR(__xludf.DUMMYFUNCTION("IMPORTRANGE(""https://docs.google.com/spreadsheets/d/1QqKyyYR6Q21VydFLVH3TRQUabQu_ym0Zz7PgGX0-kHA/edit?usp=sharing"",""แผน!HG18"")"),5415)</f>
        <v>5415</v>
      </c>
      <c r="J577" s="648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3">I593</f>
        <v>4388.22</v>
      </c>
      <c r="J592" s="675">
        <f t="shared" si="253"/>
        <v>0</v>
      </c>
      <c r="K592" s="644">
        <f t="shared" ref="K592:K594" ca="1" si="254">IF(I592&gt;0,J592*100/I592,0)</f>
        <v>0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IFERROR(__xludf.DUMMYFUNCTION("IMPORTRANGE(""https://docs.google.com/spreadsheets/d/1QqKyyYR6Q21VydFLVH3TRQUabQu_ym0Zz7PgGX0-kHA/edit?usp=sharing"",""แผน!HJ18"")"),4388.22)</f>
        <v>4388.22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IFERROR(__xludf.DUMMYFUNCTION("IMPORTRANGE(""https://docs.google.com/spreadsheets/d/1QqKyyYR6Q21VydFLVH3TRQUabQu_ym0Zz7PgGX0-kHA/edit?usp=sharing"",""แผน!HI18"")"),268)</f>
        <v>268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 hidden="1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8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59">J614+J616</f>
        <v>0</v>
      </c>
      <c r="K612" s="684">
        <f t="shared" si="258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59"/>
        <v>0</v>
      </c>
      <c r="K613" s="684">
        <f t="shared" si="258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 hidden="1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IFERROR(__xludf.DUMMYFUNCTION("IMPORTRANGE(""https://docs.google.com/spreadsheets/d/1QqKyyYR6Q21VydFLVH3TRQUabQu_ym0Zz7PgGX0-kHA/edit?usp=sharing"",""แผน!HL18"")"),0)</f>
        <v>0</v>
      </c>
      <c r="J620" s="695">
        <f t="shared" ref="J620:J621" si="260">J622+J624+J626</f>
        <v>0</v>
      </c>
      <c r="K620" s="696">
        <f t="shared" ref="K620:K621" ca="1" si="261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 hidden="1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IFERROR(__xludf.DUMMYFUNCTION("IMPORTRANGE(""https://docs.google.com/spreadsheets/d/1QqKyyYR6Q21VydFLVH3TRQUabQu_ym0Zz7PgGX0-kHA/edit?usp=sharing"",""แผน!HK18"")"),0)</f>
        <v>0</v>
      </c>
      <c r="J621" s="695">
        <f t="shared" si="260"/>
        <v>0</v>
      </c>
      <c r="K621" s="696">
        <f t="shared" ca="1" si="261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 hidden="1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 hidden="1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 hidden="1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 hidden="1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 hidden="1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 hidden="1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262">I651</f>
        <v>715</v>
      </c>
      <c r="J628" s="708">
        <f t="shared" ca="1" si="262"/>
        <v>0</v>
      </c>
      <c r="K628" s="709">
        <f ca="1">IF(I628&gt;0,J628*100/I628,0)</f>
        <v>0</v>
      </c>
      <c r="L628" s="710"/>
      <c r="M628" s="710"/>
      <c r="N628" s="710"/>
      <c r="O628" s="710"/>
      <c r="P628" s="710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1015785</v>
      </c>
      <c r="M629" s="195">
        <f t="shared" si="263"/>
        <v>0</v>
      </c>
      <c r="N629" s="195">
        <f t="shared" si="263"/>
        <v>58921.7</v>
      </c>
      <c r="O629" s="195">
        <f t="shared" ref="O629:O634" ca="1" si="264">IF(L629&gt;0,N629*100/L629,0)</f>
        <v>5.8006074120015558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6"/>
        <v>1015785</v>
      </c>
      <c r="M631" s="93">
        <f t="shared" si="266"/>
        <v>0</v>
      </c>
      <c r="N631" s="93">
        <f t="shared" si="266"/>
        <v>58921.7</v>
      </c>
      <c r="O631" s="93">
        <f t="shared" ca="1" si="264"/>
        <v>5.8006074120015558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7">L633+L634</f>
        <v>1015785</v>
      </c>
      <c r="M632" s="466">
        <f t="shared" si="267"/>
        <v>0</v>
      </c>
      <c r="N632" s="466">
        <f t="shared" si="267"/>
        <v>58921.7</v>
      </c>
      <c r="O632" s="466">
        <f t="shared" ca="1" si="264"/>
        <v>5.8006074120015558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IFERROR(__xludf.DUMMYFUNCTION("IMPORTRANGE(""https://docs.google.com/spreadsheets/d/1QqKyyYR6Q21VydFLVH3TRQUabQu_ym0Zz7PgGX0-kHA/edit?usp=sharing"",""แผน!HN18"")"),1015785)</f>
        <v>1015785</v>
      </c>
      <c r="M634" s="93">
        <v>0</v>
      </c>
      <c r="N634" s="93">
        <f>N635+N636+N637+N638</f>
        <v>58921.7</v>
      </c>
      <c r="O634" s="93">
        <f t="shared" ca="1" si="264"/>
        <v>5.8006074120015558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f>19080+4355+35486.7</f>
        <v>58921.7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IFERROR(__xludf.DUMMYFUNCTION("IMPORTRANGE(""https://docs.google.com/spreadsheets/d/1QqKyyYR6Q21VydFLVH3TRQUabQu_ym0Zz7PgGX0-kHA/edit?usp=sharing"",""แผน!HR18"")"),9)</f>
        <v>9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IFERROR(__xludf.DUMMYFUNCTION("IMPORTRANGE(""https://docs.google.com/spreadsheets/d/1QqKyyYR6Q21VydFLVH3TRQUabQu_ym0Zz7PgGX0-kHA/edit?usp=sharing"",""แผน!HR18"")"),9)</f>
        <v>9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IFERROR(__xludf.DUMMYFUNCTION("IMPORTRANGE(""https://docs.google.com/spreadsheets/d/1XWAQStnk-4SwqDmLtmXYiTMKHgktTP8We1SCoS47DrQ/edit?usp=sharing"",""จัดที่ดิน!AS18"")"),138)</f>
        <v>138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IFERROR(__xludf.DUMMYFUNCTION("IMPORTRANGE(""https://docs.google.com/spreadsheets/d/1XWAQStnk-4SwqDmLtmXYiTMKHgktTP8We1SCoS47DrQ/edit?usp=sharing"",""จัดที่ดิน!AT18"")"),62.17)</f>
        <v>62.17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IFERROR(__xludf.DUMMYFUNCTION("IMPORTRANGE(""https://docs.google.com/spreadsheets/d/1QqKyyYR6Q21VydFLVH3TRQUabQu_ym0Zz7PgGX0-kHA/edit?usp=sharing"",""แผน!HS18"")"),715)</f>
        <v>715</v>
      </c>
      <c r="J647" s="270">
        <f ca="1">IFERROR(__xludf.DUMMYFUNCTION("IMPORTRANGE(""https://docs.google.com/spreadsheets/d/1XWAQStnk-4SwqDmLtmXYiTMKHgktTP8We1SCoS47DrQ/edit?usp=sharing"",""จัดที่ดิน!AU18"")"),0)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IFERROR(__xludf.DUMMYFUNCTION("IMPORTRANGE(""https://docs.google.com/spreadsheets/d/1XWAQStnk-4SwqDmLtmXYiTMKHgktTP8We1SCoS47DrQ/edit?usp=sharing"",""จัดที่ดิน!AV18"")"),0)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IFERROR(__xludf.DUMMYFUNCTION("IMPORTRANGE(""https://docs.google.com/spreadsheets/d/1QqKyyYR6Q21VydFLVH3TRQUabQu_ym0Zz7PgGX0-kHA/edit?usp=sharing"",""แผน!HS18"")"),715)</f>
        <v>715</v>
      </c>
      <c r="J649" s="270">
        <f ca="1">IFERROR(__xludf.DUMMYFUNCTION("IMPORTRANGE(""https://docs.google.com/spreadsheets/d/1XWAQStnk-4SwqDmLtmXYiTMKHgktTP8We1SCoS47DrQ/edit?usp=sharing"",""จัดที่ดิน!AW18"")"),0)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IFERROR(__xludf.DUMMYFUNCTION("IMPORTRANGE(""https://docs.google.com/spreadsheets/d/1XWAQStnk-4SwqDmLtmXYiTMKHgktTP8We1SCoS47DrQ/edit?usp=sharing"",""จัดที่ดิน!AX18"")"),0)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IFERROR(__xludf.DUMMYFUNCTION("IMPORTRANGE(""https://docs.google.com/spreadsheets/d/1QqKyyYR6Q21VydFLVH3TRQUabQu_ym0Zz7PgGX0-kHA/edit?usp=sharing"",""แผน!HS18"")"),715)</f>
        <v>715</v>
      </c>
      <c r="J651" s="270">
        <f ca="1">IFERROR(__xludf.DUMMYFUNCTION("IMPORTRANGE(""https://docs.google.com/spreadsheets/d/1XWAQStnk-4SwqDmLtmXYiTMKHgktTP8We1SCoS47DrQ/edit?usp=sharing"",""จัดที่ดิน!AY18"")"),0)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IFERROR(__xludf.DUMMYFUNCTION("IMPORTRANGE(""https://docs.google.com/spreadsheets/d/1XWAQStnk-4SwqDmLtmXYiTMKHgktTP8We1SCoS47DrQ/edit?usp=sharing"",""จัดที่ดิน!AZ18"")"),0)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 hidden="1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2">I669</f>
        <v>0</v>
      </c>
      <c r="J654" s="675">
        <f t="shared" si="27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 hidden="1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 hidden="1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IFERROR(__xludf.DUMMYFUNCTION("IMPORTRANGE(""https://docs.google.com/spreadsheets/d/1QqKyyYR6Q21VydFLVH3TRQUabQu_ym0Zz7PgGX0-kHA/edit?usp=sharing"",""แผน!HV18"")"),0)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 hidden="1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 hidden="1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 hidden="1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 hidden="1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 hidden="1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 hidden="1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 hidden="1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IFERROR(__xludf.DUMMYFUNCTION("IMPORTRANGE(""https://docs.google.com/spreadsheets/d/1QqKyyYR6Q21VydFLVH3TRQUabQu_ym0Zz7PgGX0-kHA/edit?usp=sharing"",""แผน!IA18"")"),0)</f>
        <v>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 hidden="1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IFERROR(__xludf.DUMMYFUNCTION("IMPORTRANGE(""https://docs.google.com/spreadsheets/d/1QqKyyYR6Q21VydFLVH3TRQUabQu_ym0Zz7PgGX0-kHA/edit?usp=sharing"",""แผน!HZ18"")"),0)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 hidden="1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IFERROR(__xludf.DUMMYFUNCTION("IMPORTRANGE(""https://docs.google.com/spreadsheets/d/1QqKyyYR6Q21VydFLVH3TRQUabQu_ym0Zz7PgGX0-kHA/edit?usp=sharing"",""แผน!HZ18"")"),0)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 hidden="1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 hidden="1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 hidden="1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 hidden="1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 hidden="1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 hidden="1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 hidden="1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IFERROR(__xludf.DUMMYFUNCTION("IMPORTRANGE(""https://docs.google.com/spreadsheets/d/1QqKyyYR6Q21VydFLVH3TRQUabQu_ym0Zz7PgGX0-kHA/edit?usp=sharing"",""แผน!IB18"")"),0)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 hidden="1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 hidden="1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 hidden="1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 hidden="1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 hidden="1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164670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5"/>
        <v>164670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6">L689+L690</f>
        <v>164670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IFERROR(__xludf.DUMMYFUNCTION("IMPORTRANGE(""https://docs.google.com/spreadsheets/d/1QqKyyYR6Q21VydFLVH3TRQUabQu_ym0Zz7PgGX0-kHA/edit?usp=sharing"",""แผน!HW18"")"),164670)</f>
        <v>164670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IFERROR(__xludf.DUMMYFUNCTION("IMPORTRANGE(""https://docs.google.com/spreadsheets/d/1QqKyyYR6Q21VydFLVH3TRQUabQu_ym0Zz7PgGX0-kHA/edit?usp=sharing"",""แผน!IC18"")"),0)</f>
        <v>0</v>
      </c>
      <c r="J699" s="270">
        <f ca="1">IFERROR(__xludf.DUMMYFUNCTION("IMPORTRANGE(""https://docs.google.com/spreadsheets/d/1XWAQStnk-4SwqDmLtmXYiTMKHgktTP8We1SCoS47DrQ/edit?usp=sharing"",""จัดที่ดิน!BB18"")"),0)</f>
        <v>0</v>
      </c>
      <c r="K699" s="466">
        <f t="shared" ref="K699:K701" ca="1" si="290">IF(I699&gt;0,J699*100/I699,0)</f>
        <v>0</v>
      </c>
      <c r="L699" s="466"/>
      <c r="M699" s="189"/>
      <c r="N699" s="733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IFERROR(__xludf.DUMMYFUNCTION("IMPORTRANGE(""https://docs.google.com/spreadsheets/d/1QqKyyYR6Q21VydFLVH3TRQUabQu_ym0Zz7PgGX0-kHA/edit?usp=sharing"",""แผน!ID18"")"),40)</f>
        <v>40</v>
      </c>
      <c r="J700" s="270">
        <f ca="1">IFERROR(__xludf.DUMMYFUNCTION("IMPORTRANGE(""https://docs.google.com/spreadsheets/d/1XWAQStnk-4SwqDmLtmXYiTMKHgktTP8We1SCoS47DrQ/edit?usp=sharing"",""จัดที่ดิน!BD18"")"),0)</f>
        <v>0</v>
      </c>
      <c r="K700" s="466">
        <f t="shared" ca="1" si="290"/>
        <v>0</v>
      </c>
      <c r="L700" s="466"/>
      <c r="M700" s="189"/>
      <c r="N700" s="733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IFERROR(__xludf.DUMMYFUNCTION("IMPORTRANGE(""https://docs.google.com/spreadsheets/d/1QqKyyYR6Q21VydFLVH3TRQUabQu_ym0Zz7PgGX0-kHA/edit?usp=sharing"",""แผน!IE18"")"),1455)</f>
        <v>1455</v>
      </c>
      <c r="J701" s="648">
        <f>J704+J707</f>
        <v>0</v>
      </c>
      <c r="K701" s="195">
        <f t="shared" ca="1" si="290"/>
        <v>0</v>
      </c>
      <c r="L701" s="466"/>
      <c r="M701" s="189"/>
      <c r="N701" s="733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IFERROR(__xludf.DUMMYFUNCTION("IMPORTRANGE(""https://docs.google.com/spreadsheets/d/1QqKyyYR6Q21VydFLVH3TRQUabQu_ym0Zz7PgGX0-kHA/edit?usp=sharing"",""แผน!IF18"")"),1455)</f>
        <v>1455</v>
      </c>
      <c r="J704" s="215">
        <v>0</v>
      </c>
      <c r="K704" s="466"/>
      <c r="L704" s="466"/>
      <c r="M704" s="189"/>
      <c r="N704" s="733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0</v>
      </c>
      <c r="K705" s="466"/>
      <c r="L705" s="466"/>
      <c r="M705" s="189"/>
      <c r="N705" s="733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0</v>
      </c>
      <c r="K706" s="466"/>
      <c r="L706" s="466"/>
      <c r="M706" s="189"/>
      <c r="N706" s="733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IFERROR(__xludf.DUMMYFUNCTION("IMPORTRANGE(""https://docs.google.com/spreadsheets/d/1QqKyyYR6Q21VydFLVH3TRQUabQu_ym0Zz7PgGX0-kHA/edit?usp=sharing"",""แผน!IG18"")"),0)</f>
        <v>0</v>
      </c>
      <c r="J707" s="215">
        <v>0</v>
      </c>
      <c r="K707" s="466"/>
      <c r="L707" s="466"/>
      <c r="M707" s="189"/>
      <c r="N707" s="733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IFERROR(__xludf.DUMMYFUNCTION("IMPORTRANGE(""https://docs.google.com/spreadsheets/d/1QqKyyYR6Q21VydFLVH3TRQUabQu_ym0Zz7PgGX0-kHA/edit?usp=sharing"",""แผน!IH18"")"),1846)</f>
        <v>1846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IFERROR(__xludf.DUMMYFUNCTION("IMPORTRANGE(""https://docs.google.com/spreadsheets/d/1XWAQStnk-4SwqDmLtmXYiTMKHgktTP8We1SCoS47DrQ/edit?usp=sharing"",""จัดที่ดิน!BF18"")"),0)</f>
        <v>0</v>
      </c>
      <c r="K718" s="466"/>
      <c r="L718" s="466"/>
      <c r="M718" s="189"/>
      <c r="N718" s="733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IFERROR(__xludf.DUMMYFUNCTION("IMPORTRANGE(""https://docs.google.com/spreadsheets/d/1XWAQStnk-4SwqDmLtmXYiTMKHgktTP8We1SCoS47DrQ/edit?usp=sharing"",""จัดที่ดิน!BG18"")"),0)</f>
        <v>0</v>
      </c>
      <c r="K719" s="466"/>
      <c r="L719" s="733"/>
      <c r="M719" s="189"/>
      <c r="N719" s="733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IFERROR(__xludf.DUMMYFUNCTION("IMPORTRANGE(""https://docs.google.com/spreadsheets/d/1QqKyyYR6Q21VydFLVH3TRQUabQu_ym0Zz7PgGX0-kHA/edit?usp=sharing"",""แผน!II18"")"),2585)</f>
        <v>2585</v>
      </c>
      <c r="J720" s="270">
        <f ca="1">IFERROR(__xludf.DUMMYFUNCTION("IMPORTRANGE(""https://docs.google.com/spreadsheets/d/1XWAQStnk-4SwqDmLtmXYiTMKHgktTP8We1SCoS47DrQ/edit?usp=sharing"",""จัดที่ดิน!BH18"")"),0)</f>
        <v>0</v>
      </c>
      <c r="K720" s="466">
        <f t="shared" ref="K720:K723" ca="1" si="291">IF(I720&gt;0,J720*100/I720,0)</f>
        <v>0</v>
      </c>
      <c r="L720" s="733"/>
      <c r="M720" s="189"/>
      <c r="N720" s="733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IFERROR(__xludf.DUMMYFUNCTION("IMPORTRANGE(""https://docs.google.com/spreadsheets/d/1QqKyyYR6Q21VydFLVH3TRQUabQu_ym0Zz7PgGX0-kHA/edit?usp=sharing"",""แผน!IJ18"")"),40)</f>
        <v>40</v>
      </c>
      <c r="J721" s="648">
        <f ca="1">J723+J726</f>
        <v>0</v>
      </c>
      <c r="K721" s="195">
        <f t="shared" ca="1" si="291"/>
        <v>0</v>
      </c>
      <c r="L721" s="733"/>
      <c r="M721" s="189"/>
      <c r="N721" s="733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IFERROR(__xludf.DUMMYFUNCTION("IMPORTRANGE(""https://docs.google.com/spreadsheets/d/1QqKyyYR6Q21VydFLVH3TRQUabQu_ym0Zz7PgGX0-kHA/edit?usp=sharing"",""แผน!IK18"")"),1009)</f>
        <v>1009</v>
      </c>
      <c r="J722" s="648">
        <f ca="1">J725+J728</f>
        <v>0</v>
      </c>
      <c r="K722" s="195">
        <f t="shared" ca="1" si="291"/>
        <v>0</v>
      </c>
      <c r="L722" s="466"/>
      <c r="M722" s="189"/>
      <c r="N722" s="733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IFERROR(__xludf.DUMMYFUNCTION("IMPORTRANGE(""https://docs.google.com/spreadsheets/d/1QqKyyYR6Q21VydFLVH3TRQUabQu_ym0Zz7PgGX0-kHA/edit?usp=sharing"",""แผน!IL18"")"),40)</f>
        <v>40</v>
      </c>
      <c r="J723" s="270">
        <f ca="1">IFERROR(__xludf.DUMMYFUNCTION("IMPORTRANGE(""https://docs.google.com/spreadsheets/d/1XWAQStnk-4SwqDmLtmXYiTMKHgktTP8We1SCoS47DrQ/edit?usp=sharing"",""จัดที่ดิน!BM18"")"),0)</f>
        <v>0</v>
      </c>
      <c r="K723" s="466">
        <f t="shared" ca="1" si="291"/>
        <v>0</v>
      </c>
      <c r="L723" s="466"/>
      <c r="M723" s="189"/>
      <c r="N723" s="733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IFERROR(__xludf.DUMMYFUNCTION("IMPORTRANGE(""https://docs.google.com/spreadsheets/d/1XWAQStnk-4SwqDmLtmXYiTMKHgktTP8We1SCoS47DrQ/edit?usp=sharing"",""จัดที่ดิน!BN18"")"),0)</f>
        <v>0</v>
      </c>
      <c r="K724" s="466"/>
      <c r="L724" s="733"/>
      <c r="M724" s="189"/>
      <c r="N724" s="733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IFERROR(__xludf.DUMMYFUNCTION("IMPORTRANGE(""https://docs.google.com/spreadsheets/d/1QqKyyYR6Q21VydFLVH3TRQUabQu_ym0Zz7PgGX0-kHA/edit?usp=sharing"",""แผน!IM18"")"),1009)</f>
        <v>1009</v>
      </c>
      <c r="J725" s="270">
        <f ca="1">IFERROR(__xludf.DUMMYFUNCTION("IMPORTRANGE(""https://docs.google.com/spreadsheets/d/1XWAQStnk-4SwqDmLtmXYiTMKHgktTP8We1SCoS47DrQ/edit?usp=sharing"",""จัดที่ดิน!BO18"")"),0)</f>
        <v>0</v>
      </c>
      <c r="K725" s="466">
        <f t="shared" ref="K725:K726" ca="1" si="292">IF(I725&gt;0,J725*100/I725,0)</f>
        <v>0</v>
      </c>
      <c r="L725" s="733"/>
      <c r="M725" s="189"/>
      <c r="N725" s="733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IFERROR(__xludf.DUMMYFUNCTION("IMPORTRANGE(""https://docs.google.com/spreadsheets/d/1QqKyyYR6Q21VydFLVH3TRQUabQu_ym0Zz7PgGX0-kHA/edit?usp=sharing"",""แผน!IN18"")"),0)</f>
        <v>0</v>
      </c>
      <c r="J726" s="270">
        <f ca="1">IFERROR(__xludf.DUMMYFUNCTION("IMPORTRANGE(""https://docs.google.com/spreadsheets/d/1XWAQStnk-4SwqDmLtmXYiTMKHgktTP8We1SCoS47DrQ/edit?usp=sharing"",""จัดที่ดิน!BR18"")"),0)</f>
        <v>0</v>
      </c>
      <c r="K726" s="466">
        <f t="shared" ca="1" si="292"/>
        <v>0</v>
      </c>
      <c r="L726" s="466"/>
      <c r="M726" s="189"/>
      <c r="N726" s="733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IFERROR(__xludf.DUMMYFUNCTION("IMPORTRANGE(""https://docs.google.com/spreadsheets/d/1XWAQStnk-4SwqDmLtmXYiTMKHgktTP8We1SCoS47DrQ/edit?usp=sharing"",""จัดที่ดิน!BS18"")"),0)</f>
        <v>0</v>
      </c>
      <c r="K727" s="466"/>
      <c r="L727" s="733"/>
      <c r="M727" s="189"/>
      <c r="N727" s="733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IFERROR(__xludf.DUMMYFUNCTION("IMPORTRANGE(""https://docs.google.com/spreadsheets/d/1QqKyyYR6Q21VydFLVH3TRQUabQu_ym0Zz7PgGX0-kHA/edit?usp=sharing"",""แผน!IO18"")"),0)</f>
        <v>0</v>
      </c>
      <c r="J728" s="270">
        <f ca="1">IFERROR(__xludf.DUMMYFUNCTION("IMPORTRANGE(""https://docs.google.com/spreadsheets/d/1XWAQStnk-4SwqDmLtmXYiTMKHgktTP8We1SCoS47DrQ/edit?usp=sharing"",""จัดที่ดิน!BT18"")"),0)</f>
        <v>0</v>
      </c>
      <c r="K728" s="466">
        <f t="shared" ref="K728:K729" ca="1" si="293">IF(I728&gt;0,J728*100/I728,0)</f>
        <v>0</v>
      </c>
      <c r="L728" s="733"/>
      <c r="M728" s="189"/>
      <c r="N728" s="733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IFERROR(__xludf.DUMMYFUNCTION("IMPORTRANGE(""https://docs.google.com/spreadsheets/d/1QqKyyYR6Q21VydFLVH3TRQUabQu_ym0Zz7PgGX0-kHA/edit?usp=sharing"",""แผน!IP18"")"),105)</f>
        <v>105</v>
      </c>
      <c r="J729" s="648">
        <f>J732+J735</f>
        <v>0</v>
      </c>
      <c r="K729" s="195">
        <f t="shared" ca="1" si="293"/>
        <v>0</v>
      </c>
      <c r="L729" s="466"/>
      <c r="M729" s="189"/>
      <c r="N729" s="733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0</v>
      </c>
      <c r="K730" s="466"/>
      <c r="L730" s="733"/>
      <c r="M730" s="466"/>
      <c r="N730" s="733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0</v>
      </c>
      <c r="K731" s="466"/>
      <c r="L731" s="733"/>
      <c r="M731" s="466"/>
      <c r="N731" s="733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0</v>
      </c>
      <c r="K732" s="466"/>
      <c r="L732" s="733"/>
      <c r="M732" s="466"/>
      <c r="N732" s="733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0</v>
      </c>
      <c r="K733" s="466"/>
      <c r="L733" s="733"/>
      <c r="M733" s="466"/>
      <c r="N733" s="733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0</v>
      </c>
      <c r="K734" s="466"/>
      <c r="L734" s="733"/>
      <c r="M734" s="466"/>
      <c r="N734" s="733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0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4">L738+L739</f>
        <v>0</v>
      </c>
      <c r="M737" s="614">
        <f t="shared" si="294"/>
        <v>0</v>
      </c>
      <c r="N737" s="614">
        <f t="shared" si="294"/>
        <v>0</v>
      </c>
      <c r="O737" s="614">
        <f t="shared" ref="O737:O742" si="295">IF(L737&gt;0,N737*100/L737,0)</f>
        <v>0</v>
      </c>
      <c r="P737" s="614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6"/>
      <c r="D740" s="805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8">L741+L742</f>
        <v>0</v>
      </c>
      <c r="M740" s="614">
        <f t="shared" si="298"/>
        <v>0</v>
      </c>
      <c r="N740" s="614">
        <f t="shared" si="298"/>
        <v>0</v>
      </c>
      <c r="O740" s="614">
        <f t="shared" si="295"/>
        <v>0</v>
      </c>
      <c r="P740" s="614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6"/>
      <c r="D747" s="805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299">L748+L749</f>
        <v>0</v>
      </c>
      <c r="M747" s="614">
        <f t="shared" si="299"/>
        <v>0</v>
      </c>
      <c r="N747" s="614">
        <f t="shared" si="299"/>
        <v>0</v>
      </c>
      <c r="O747" s="614">
        <f t="shared" ref="O747:O749" si="300">IF(L747&gt;0,N747*100/L747,0)</f>
        <v>0</v>
      </c>
      <c r="P747" s="614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2">L755+L756</f>
        <v>0</v>
      </c>
      <c r="M754" s="614">
        <f t="shared" si="302"/>
        <v>0</v>
      </c>
      <c r="N754" s="614">
        <f t="shared" si="302"/>
        <v>0</v>
      </c>
      <c r="O754" s="614">
        <f t="shared" ref="O754:O759" si="303">IF(L754&gt;0,N754*100/L754,0)</f>
        <v>0</v>
      </c>
      <c r="P754" s="614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6"/>
      <c r="D757" s="805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6">L758+L759</f>
        <v>0</v>
      </c>
      <c r="M757" s="614">
        <f t="shared" si="306"/>
        <v>0</v>
      </c>
      <c r="N757" s="614">
        <f t="shared" si="306"/>
        <v>0</v>
      </c>
      <c r="O757" s="614">
        <f t="shared" si="303"/>
        <v>0</v>
      </c>
      <c r="P757" s="614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6"/>
      <c r="D764" s="805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7">L765+L766</f>
        <v>0</v>
      </c>
      <c r="M764" s="614">
        <f t="shared" si="307"/>
        <v>0</v>
      </c>
      <c r="N764" s="614">
        <f t="shared" si="307"/>
        <v>0</v>
      </c>
      <c r="O764" s="614">
        <f t="shared" ref="O764:O766" si="308">IF(L764&gt;0,N764*100/L764,0)</f>
        <v>0</v>
      </c>
      <c r="P764" s="614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0">L771+L772</f>
        <v>0</v>
      </c>
      <c r="M770" s="614">
        <f t="shared" si="310"/>
        <v>0</v>
      </c>
      <c r="N770" s="614">
        <f t="shared" si="310"/>
        <v>0</v>
      </c>
      <c r="O770" s="614">
        <f t="shared" ref="O770:O775" si="311">IF(L770&gt;0,N770*100/L770,0)</f>
        <v>0</v>
      </c>
      <c r="P770" s="614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6"/>
      <c r="D773" s="805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4">L774+L775</f>
        <v>0</v>
      </c>
      <c r="M773" s="614">
        <f t="shared" si="314"/>
        <v>0</v>
      </c>
      <c r="N773" s="614">
        <f t="shared" si="314"/>
        <v>0</v>
      </c>
      <c r="O773" s="614">
        <f t="shared" si="311"/>
        <v>0</v>
      </c>
      <c r="P773" s="614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6"/>
      <c r="D780" s="805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5">L781+L782</f>
        <v>0</v>
      </c>
      <c r="M780" s="614">
        <f t="shared" si="315"/>
        <v>0</v>
      </c>
      <c r="N780" s="614">
        <f t="shared" si="315"/>
        <v>0</v>
      </c>
      <c r="O780" s="614">
        <f t="shared" ref="O780:O782" si="316">IF(L780&gt;0,N780*100/L780,0)</f>
        <v>0</v>
      </c>
      <c r="P780" s="614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871" t="s">
        <v>46</v>
      </c>
      <c r="I785" s="872">
        <f t="shared" ref="I785:J785" ca="1" si="318">I801+I803</f>
        <v>15000</v>
      </c>
      <c r="J785" s="872">
        <f t="shared" ca="1" si="318"/>
        <v>7519</v>
      </c>
      <c r="K785" s="873">
        <f ca="1">IF(I785&gt;0,J785*100/I785,0)</f>
        <v>50.126666666666665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874" t="s">
        <v>12</v>
      </c>
      <c r="I786" s="875"/>
      <c r="J786" s="875"/>
      <c r="K786" s="87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6"/>
      <c r="D787" s="687"/>
      <c r="E787" s="726" t="s">
        <v>184</v>
      </c>
      <c r="F787" s="726"/>
      <c r="G787" s="568"/>
      <c r="H787" s="877" t="s">
        <v>12</v>
      </c>
      <c r="I787" s="875"/>
      <c r="J787" s="875"/>
      <c r="K787" s="87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6" t="s">
        <v>185</v>
      </c>
      <c r="F788" s="726"/>
      <c r="G788" s="568"/>
      <c r="H788" s="877" t="s">
        <v>12</v>
      </c>
      <c r="I788" s="875"/>
      <c r="J788" s="875"/>
      <c r="K788" s="876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730"/>
      <c r="F789" s="730"/>
      <c r="G789" s="189"/>
      <c r="H789" s="878" t="s">
        <v>12</v>
      </c>
      <c r="I789" s="879"/>
      <c r="J789" s="879"/>
      <c r="K789" s="880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6" t="s">
        <v>184</v>
      </c>
      <c r="F790" s="726"/>
      <c r="G790" s="568"/>
      <c r="H790" s="877" t="s">
        <v>12</v>
      </c>
      <c r="I790" s="875"/>
      <c r="J790" s="875"/>
      <c r="K790" s="87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6" t="s">
        <v>185</v>
      </c>
      <c r="F791" s="726"/>
      <c r="G791" s="568"/>
      <c r="H791" s="877" t="s">
        <v>12</v>
      </c>
      <c r="I791" s="875"/>
      <c r="J791" s="875"/>
      <c r="K791" s="876"/>
      <c r="L791" s="93">
        <f ca="1">IFERROR(__xludf.DUMMYFUNCTION("IMPORTRANGE(""https://docs.google.com/spreadsheets/d/1QqKyyYR6Q21VydFLVH3TRQUabQu_ym0Zz7PgGX0-kHA/edit?usp=sharing"",""แผน!JJ18"")"),0)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730"/>
      <c r="D792" s="730"/>
      <c r="E792" s="730"/>
      <c r="F792" s="730" t="s">
        <v>186</v>
      </c>
      <c r="G792" s="189"/>
      <c r="H792" s="878" t="s">
        <v>12</v>
      </c>
      <c r="I792" s="875"/>
      <c r="J792" s="875"/>
      <c r="K792" s="876"/>
      <c r="L792" s="466"/>
      <c r="M792" s="466"/>
      <c r="N792" s="801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730"/>
      <c r="D793" s="730"/>
      <c r="E793" s="730"/>
      <c r="F793" s="730" t="s">
        <v>187</v>
      </c>
      <c r="G793" s="189"/>
      <c r="H793" s="878" t="s">
        <v>12</v>
      </c>
      <c r="I793" s="875"/>
      <c r="J793" s="875"/>
      <c r="K793" s="876"/>
      <c r="L793" s="466"/>
      <c r="M793" s="466"/>
      <c r="N793" s="801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730"/>
      <c r="D794" s="730"/>
      <c r="E794" s="730"/>
      <c r="F794" s="730" t="s">
        <v>188</v>
      </c>
      <c r="G794" s="189"/>
      <c r="H794" s="878" t="s">
        <v>12</v>
      </c>
      <c r="I794" s="875"/>
      <c r="J794" s="875"/>
      <c r="K794" s="876"/>
      <c r="L794" s="466"/>
      <c r="M794" s="466"/>
      <c r="N794" s="801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730"/>
      <c r="D795" s="730"/>
      <c r="E795" s="730"/>
      <c r="F795" s="730" t="s">
        <v>189</v>
      </c>
      <c r="G795" s="189"/>
      <c r="H795" s="878" t="s">
        <v>12</v>
      </c>
      <c r="I795" s="875"/>
      <c r="J795" s="875"/>
      <c r="K795" s="876"/>
      <c r="L795" s="466"/>
      <c r="M795" s="466"/>
      <c r="N795" s="801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730"/>
      <c r="D796" s="571" t="s">
        <v>21</v>
      </c>
      <c r="E796" s="730"/>
      <c r="F796" s="730"/>
      <c r="G796" s="189"/>
      <c r="H796" s="881" t="s">
        <v>12</v>
      </c>
      <c r="I796" s="879"/>
      <c r="J796" s="879"/>
      <c r="K796" s="880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6"/>
      <c r="D797" s="726"/>
      <c r="E797" s="726" t="s">
        <v>18</v>
      </c>
      <c r="F797" s="726"/>
      <c r="G797" s="568"/>
      <c r="H797" s="877" t="s">
        <v>12</v>
      </c>
      <c r="I797" s="879"/>
      <c r="J797" s="879"/>
      <c r="K797" s="88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6"/>
      <c r="D798" s="726"/>
      <c r="E798" s="726" t="s">
        <v>19</v>
      </c>
      <c r="F798" s="726"/>
      <c r="G798" s="568"/>
      <c r="H798" s="882" t="s">
        <v>12</v>
      </c>
      <c r="I798" s="879"/>
      <c r="J798" s="879"/>
      <c r="K798" s="88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883"/>
      <c r="I799" s="879"/>
      <c r="J799" s="879"/>
      <c r="K799" s="880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85"/>
      <c r="C800" s="585"/>
      <c r="D800" s="585"/>
      <c r="E800" s="593"/>
      <c r="F800" s="593" t="s">
        <v>320</v>
      </c>
      <c r="G800" s="729"/>
      <c r="H800" s="884" t="s">
        <v>34</v>
      </c>
      <c r="I800" s="879"/>
      <c r="J800" s="885">
        <f ca="1">IFERROR(__xludf.DUMMYFUNCTION("IMPORTRANGE(""https://docs.google.com/spreadsheets/d/1MaWodYyGHDf7siQLGxnXhG4mBNTNIuy296niS2xXulU/edit?usp=sharing"",""RTK!H18"")"),0)</f>
        <v>0</v>
      </c>
      <c r="K800" s="876"/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85"/>
      <c r="C801" s="585"/>
      <c r="D801" s="585"/>
      <c r="E801" s="593"/>
      <c r="F801" s="593"/>
      <c r="G801" s="729"/>
      <c r="H801" s="878" t="s">
        <v>46</v>
      </c>
      <c r="I801" s="885">
        <f ca="1">IFERROR(__xludf.DUMMYFUNCTION("IMPORTRANGE(""https://docs.google.com/spreadsheets/d/1MaWodYyGHDf7siQLGxnXhG4mBNTNIuy296niS2xXulU/edit?usp=sharing"",""RTK!G18"")"),0)</f>
        <v>0</v>
      </c>
      <c r="J801" s="886">
        <f ca="1">IFERROR(__xludf.DUMMYFUNCTION("IMPORTRANGE(""https://docs.google.com/spreadsheets/d/1MaWodYyGHDf7siQLGxnXhG4mBNTNIuy296niS2xXulU/edit?usp=sharing"",""RTK!I18"")"),0)</f>
        <v>0</v>
      </c>
      <c r="K801" s="887">
        <f ca="1">IF(I801&gt;0,J801*100/I801,0)</f>
        <v>0</v>
      </c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579"/>
      <c r="B802" s="581"/>
      <c r="C802" s="581"/>
      <c r="D802" s="581"/>
      <c r="E802" s="687"/>
      <c r="F802" s="783" t="s">
        <v>321</v>
      </c>
      <c r="G802" s="582"/>
      <c r="H802" s="884" t="s">
        <v>34</v>
      </c>
      <c r="I802" s="879"/>
      <c r="J802" s="885">
        <f ca="1">IFERROR(__xludf.DUMMYFUNCTION("IMPORTRANGE(""https://docs.google.com/spreadsheets/d/1MaWodYyGHDf7siQLGxnXhG4mBNTNIuy296niS2xXulU/edit?usp=sharing"",""RTK!L18"")"),492)</f>
        <v>492</v>
      </c>
      <c r="K802" s="876"/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9.5" thickBot="1">
      <c r="A803" s="579"/>
      <c r="B803" s="581"/>
      <c r="C803" s="581"/>
      <c r="D803" s="581"/>
      <c r="E803" s="687"/>
      <c r="F803" s="687"/>
      <c r="G803" s="582"/>
      <c r="H803" s="884" t="s">
        <v>46</v>
      </c>
      <c r="I803" s="885">
        <f ca="1">IFERROR(__xludf.DUMMYFUNCTION("IMPORTRANGE(""https://docs.google.com/spreadsheets/d/1MaWodYyGHDf7siQLGxnXhG4mBNTNIuy296niS2xXulU/edit?usp=sharing"",""RTK!K18"")"),15000)</f>
        <v>15000</v>
      </c>
      <c r="J803" s="886">
        <f ca="1">IFERROR(__xludf.DUMMYFUNCTION("IMPORTRANGE(""https://docs.google.com/spreadsheets/d/1MaWodYyGHDf7siQLGxnXhG4mBNTNIuy296niS2xXulU/edit?usp=sharing"",""RTK!M18"")"),7519)</f>
        <v>7519</v>
      </c>
      <c r="K803" s="887">
        <f t="shared" ref="K803:K804" ca="1" si="327">IF(I803&gt;0,J803*100/I803,0)</f>
        <v>50.126666666666665</v>
      </c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20.25" hidden="1" thickBot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 t="shared" si="327"/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20.25" hidden="1" thickBot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8">L806+L807</f>
        <v>0</v>
      </c>
      <c r="M805" s="614">
        <f t="shared" si="328"/>
        <v>0</v>
      </c>
      <c r="N805" s="614">
        <f t="shared" si="328"/>
        <v>0</v>
      </c>
      <c r="O805" s="614">
        <f t="shared" ref="O805:O810" si="329">IF(L805&gt;0,N805*100/L805,0)</f>
        <v>0</v>
      </c>
      <c r="P805" s="614">
        <f t="shared" ref="P805:P810" si="330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9.5" hidden="1" thickBot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9.5" hidden="1" thickBot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20.25" hidden="1" thickBot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2">L809+L810</f>
        <v>0</v>
      </c>
      <c r="M808" s="614">
        <f t="shared" si="332"/>
        <v>0</v>
      </c>
      <c r="N808" s="614">
        <f t="shared" si="332"/>
        <v>0</v>
      </c>
      <c r="O808" s="614">
        <f t="shared" si="329"/>
        <v>0</v>
      </c>
      <c r="P808" s="614">
        <f t="shared" si="330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9.5" hidden="1" thickBot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9.5" hidden="1" thickBot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9.5" hidden="1" thickBot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9.5" hidden="1" thickBot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9.5" hidden="1" thickBot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9.5" hidden="1" thickBot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20.25" hidden="1" thickBot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3">L816+L817</f>
        <v>0</v>
      </c>
      <c r="M815" s="614">
        <f t="shared" si="333"/>
        <v>0</v>
      </c>
      <c r="N815" s="614">
        <f t="shared" si="333"/>
        <v>0</v>
      </c>
      <c r="O815" s="614">
        <f t="shared" ref="O815:O817" si="334">IF(L815&gt;0,N815*100/L815,0)</f>
        <v>0</v>
      </c>
      <c r="P815" s="614">
        <f t="shared" ref="P815:P817" si="335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9.5" hidden="1" thickBot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9.5" hidden="1" thickBot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20.25" hidden="1" thickBot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64" t="s">
        <v>332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69"/>
      <c r="J820" s="869"/>
      <c r="K820" s="870"/>
      <c r="L820" s="870"/>
      <c r="M820" s="870"/>
      <c r="N820" s="870"/>
      <c r="O820" s="870"/>
      <c r="P820" s="870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IFERROR(__xludf.DUMMYFUNCTION("IMPORTRANGE(""https://docs.google.com/spreadsheets/d/19vJNZY_5yjcGF2XGBMNZRCAIB0Kwfpjp8YEOfu-bneM/edit?usp=sharing"",""งานกองทุน!D18"")"),1260000)</f>
        <v>1260000</v>
      </c>
      <c r="J821" s="270">
        <f ca="1">IFERROR(__xludf.DUMMYFUNCTION("IMPORTRANGE(""https://docs.google.com/spreadsheets/d/19vJNZY_5yjcGF2XGBMNZRCAIB0Kwfpjp8YEOfu-bneM/edit?usp=sharing"",""งานกองทุน!F18"")"),152000.01)</f>
        <v>152000.01</v>
      </c>
      <c r="K821" s="466">
        <f t="shared" ref="K821:K828" ca="1" si="336">IF(I821&gt;0,J821*100/I821,0)</f>
        <v>12.063492857142856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IFERROR(__xludf.DUMMYFUNCTION("IMPORTRANGE(""https://docs.google.com/spreadsheets/d/19vJNZY_5yjcGF2XGBMNZRCAIB0Kwfpjp8YEOfu-bneM/edit?usp=sharing"",""งานกองทุน!C18"")"),63)</f>
        <v>63</v>
      </c>
      <c r="J822" s="270">
        <f ca="1">IFERROR(__xludf.DUMMYFUNCTION("IMPORTRANGE(""https://docs.google.com/spreadsheets/d/19vJNZY_5yjcGF2XGBMNZRCAIB0Kwfpjp8YEOfu-bneM/edit?usp=sharing"",""งานกองทุน!E18"")"),9)</f>
        <v>9</v>
      </c>
      <c r="K822" s="466">
        <f t="shared" ca="1" si="336"/>
        <v>14.285714285714286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IFERROR(__xludf.DUMMYFUNCTION("IMPORTRANGE(""https://docs.google.com/spreadsheets/d/19vJNZY_5yjcGF2XGBMNZRCAIB0Kwfpjp8YEOfu-bneM/edit?usp=sharing"",""งานกองทุน!I18"")"),4791810.1)</f>
        <v>4791810.0999999996</v>
      </c>
      <c r="J823" s="270">
        <f ca="1">IFERROR(__xludf.DUMMYFUNCTION("IMPORTRANGE(""https://docs.google.com/spreadsheets/d/19vJNZY_5yjcGF2XGBMNZRCAIB0Kwfpjp8YEOfu-bneM/edit?usp=sharing"",""งานกองทุน!K18"")"),217355.08)</f>
        <v>217355.08</v>
      </c>
      <c r="K823" s="466">
        <f t="shared" ca="1" si="336"/>
        <v>4.5359702380526308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IFERROR(__xludf.DUMMYFUNCTION("IMPORTRANGE(""https://docs.google.com/spreadsheets/d/19vJNZY_5yjcGF2XGBMNZRCAIB0Kwfpjp8YEOfu-bneM/edit?usp=sharing"",""งานกองทุน!H18"")"),261)</f>
        <v>261</v>
      </c>
      <c r="J824" s="270">
        <f ca="1">IFERROR(__xludf.DUMMYFUNCTION("IMPORTRANGE(""https://docs.google.com/spreadsheets/d/19vJNZY_5yjcGF2XGBMNZRCAIB0Kwfpjp8YEOfu-bneM/edit?usp=sharing"",""งานกองทุน!J18"")"),22)</f>
        <v>22</v>
      </c>
      <c r="K824" s="466">
        <f t="shared" ca="1" si="336"/>
        <v>8.4291187739463602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IFERROR(__xludf.DUMMYFUNCTION("IMPORTRANGE(""https://docs.google.com/spreadsheets/d/19vJNZY_5yjcGF2XGBMNZRCAIB0Kwfpjp8YEOfu-bneM/edit?usp=sharing"",""งานกองทุน!N18"")"),44668333.64)</f>
        <v>44668333.640000001</v>
      </c>
      <c r="J825" s="270">
        <f ca="1">IFERROR(__xludf.DUMMYFUNCTION("IMPORTRANGE(""https://docs.google.com/spreadsheets/d/19vJNZY_5yjcGF2XGBMNZRCAIB0Kwfpjp8YEOfu-bneM/edit?usp=sharing"",""งานกองทุน!P18"")"),9890523.89)</f>
        <v>9890523.8900000006</v>
      </c>
      <c r="K825" s="466">
        <f t="shared" ca="1" si="336"/>
        <v>22.142137581651681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IFERROR(__xludf.DUMMYFUNCTION("IMPORTRANGE(""https://docs.google.com/spreadsheets/d/19vJNZY_5yjcGF2XGBMNZRCAIB0Kwfpjp8YEOfu-bneM/edit?usp=sharing"",""งานกองทุน!M18"")"),3484)</f>
        <v>3484</v>
      </c>
      <c r="J826" s="270">
        <f ca="1">IFERROR(__xludf.DUMMYFUNCTION("IMPORTRANGE(""https://docs.google.com/spreadsheets/d/19vJNZY_5yjcGF2XGBMNZRCAIB0Kwfpjp8YEOfu-bneM/edit?usp=sharing"",""งานกองทุน!O18"")"),1732)</f>
        <v>1732</v>
      </c>
      <c r="K826" s="466">
        <f t="shared" ca="1" si="336"/>
        <v>49.712973593570609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IFERROR(__xludf.DUMMYFUNCTION("IMPORTRANGE(""https://docs.google.com/spreadsheets/d/19vJNZY_5yjcGF2XGBMNZRCAIB0Kwfpjp8YEOfu-bneM/edit?usp=sharing"",""งานกองทุน!S18"")"),1930000)</f>
        <v>1930000</v>
      </c>
      <c r="J827" s="270">
        <f ca="1">IFERROR(__xludf.DUMMYFUNCTION("IMPORTRANGE(""https://docs.google.com/spreadsheets/d/19vJNZY_5yjcGF2XGBMNZRCAIB0Kwfpjp8YEOfu-bneM/edit?usp=sharing"",""งานกองทุน!U18"")"),600000)</f>
        <v>600000</v>
      </c>
      <c r="K827" s="466">
        <f t="shared" ca="1" si="336"/>
        <v>31.088082901554404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IFERROR(__xludf.DUMMYFUNCTION("IMPORTRANGE(""https://docs.google.com/spreadsheets/d/19vJNZY_5yjcGF2XGBMNZRCAIB0Kwfpjp8YEOfu-bneM/edit?usp=sharing"",""งานกองทุน!R18"")"),77)</f>
        <v>77</v>
      </c>
      <c r="J828" s="469">
        <f ca="1">IFERROR(__xludf.DUMMYFUNCTION("IMPORTRANGE(""https://docs.google.com/spreadsheets/d/19vJNZY_5yjcGF2XGBMNZRCAIB0Kwfpjp8YEOfu-bneM/edit?usp=sharing"",""งานกองทุน!T18"")"),30)</f>
        <v>30</v>
      </c>
      <c r="K828" s="470">
        <f t="shared" ca="1" si="336"/>
        <v>38.961038961038959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5B875-3AA6-4A21-A9E9-F6C47CAAFB2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4" customWidth="1"/>
    <col min="4" max="6" width="5.85546875" style="804" customWidth="1"/>
    <col min="7" max="7" width="56.42578125" style="804" customWidth="1"/>
    <col min="8" max="8" width="9.42578125" style="804" customWidth="1"/>
    <col min="9" max="10" width="16.85546875" style="804" bestFit="1" customWidth="1"/>
    <col min="11" max="11" width="12.5703125" style="804" customWidth="1"/>
    <col min="12" max="13" width="20.28515625" style="804" bestFit="1" customWidth="1"/>
    <col min="14" max="14" width="21.28515625" style="804" bestFit="1" customWidth="1"/>
    <col min="15" max="16" width="17.5703125" style="804" customWidth="1"/>
    <col min="17" max="16384" width="12.5703125" style="804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338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7984782</v>
      </c>
      <c r="M8" s="22">
        <f t="shared" ca="1" si="0"/>
        <v>5278409</v>
      </c>
      <c r="N8" s="22">
        <f t="shared" ca="1" si="0"/>
        <v>4225539.3100000005</v>
      </c>
      <c r="O8" s="22">
        <f t="shared" ref="O8:O16" ca="1" si="1">IF(L8&gt;0,N8*100/L8,0)</f>
        <v>52.919908270507584</v>
      </c>
      <c r="P8" s="22">
        <f t="shared" ref="P8:P16" ca="1" si="2">IF(M8&gt;0,N8*100/M8,0)</f>
        <v>80.053275712435337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7984782</v>
      </c>
      <c r="M10" s="30">
        <f t="shared" ca="1" si="3"/>
        <v>5278409</v>
      </c>
      <c r="N10" s="30">
        <f t="shared" ca="1" si="3"/>
        <v>4225539.3100000005</v>
      </c>
      <c r="O10" s="30">
        <f t="shared" ca="1" si="1"/>
        <v>52.919908270507584</v>
      </c>
      <c r="P10" s="30">
        <f t="shared" ca="1" si="2"/>
        <v>80.053275712435337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5590182</v>
      </c>
      <c r="M11" s="466">
        <f t="shared" ca="1" si="4"/>
        <v>3080509</v>
      </c>
      <c r="N11" s="466">
        <f t="shared" ca="1" si="4"/>
        <v>2033639.31</v>
      </c>
      <c r="O11" s="466">
        <f t="shared" ca="1" si="1"/>
        <v>36.378767453367352</v>
      </c>
      <c r="P11" s="466">
        <f t="shared" ca="1" si="2"/>
        <v>66.016340481394465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5590182</v>
      </c>
      <c r="M13" s="93">
        <f t="shared" ca="1" si="5"/>
        <v>3080509</v>
      </c>
      <c r="N13" s="93">
        <f t="shared" ca="1" si="5"/>
        <v>2033639.31</v>
      </c>
      <c r="O13" s="93">
        <f t="shared" ca="1" si="1"/>
        <v>36.378767453367352</v>
      </c>
      <c r="P13" s="93">
        <f t="shared" ca="1" si="2"/>
        <v>66.016340481394465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2394600</v>
      </c>
      <c r="M14" s="466">
        <f t="shared" ca="1" si="6"/>
        <v>2197900</v>
      </c>
      <c r="N14" s="466">
        <f t="shared" ca="1" si="6"/>
        <v>2191900</v>
      </c>
      <c r="O14" s="466">
        <f t="shared" ca="1" si="1"/>
        <v>91.535120688215144</v>
      </c>
      <c r="P14" s="466">
        <f t="shared" ca="1" si="2"/>
        <v>99.727012147959414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2394600</v>
      </c>
      <c r="M16" s="52">
        <f t="shared" ca="1" si="7"/>
        <v>2197900</v>
      </c>
      <c r="N16" s="52">
        <f t="shared" ca="1" si="7"/>
        <v>2191900</v>
      </c>
      <c r="O16" s="52">
        <f t="shared" ca="1" si="1"/>
        <v>91.535120688215144</v>
      </c>
      <c r="P16" s="52">
        <f t="shared" ca="1" si="2"/>
        <v>99.727012147959414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6257790</v>
      </c>
      <c r="M18" s="22">
        <f t="shared" ca="1" si="8"/>
        <v>5278409</v>
      </c>
      <c r="N18" s="22">
        <f t="shared" ca="1" si="8"/>
        <v>3801586.31</v>
      </c>
      <c r="O18" s="22">
        <f t="shared" ref="O18:O26" ca="1" si="9">IF(L18&gt;0,N18*100/L18,0)</f>
        <v>60.749662580559594</v>
      </c>
      <c r="P18" s="22">
        <f t="shared" ref="P18:P26" ca="1" si="10">IF(M18&gt;0,N18*100/M18,0)</f>
        <v>72.021442635460801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6257790</v>
      </c>
      <c r="M20" s="30">
        <f t="shared" ca="1" si="11"/>
        <v>5278409</v>
      </c>
      <c r="N20" s="30">
        <f t="shared" ca="1" si="11"/>
        <v>3801586.31</v>
      </c>
      <c r="O20" s="30">
        <f t="shared" ca="1" si="9"/>
        <v>60.749662580559594</v>
      </c>
      <c r="P20" s="30">
        <f t="shared" ca="1" si="10"/>
        <v>72.021442635460801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3863190</v>
      </c>
      <c r="M21" s="466">
        <f t="shared" ca="1" si="12"/>
        <v>3080509</v>
      </c>
      <c r="N21" s="466">
        <f t="shared" ca="1" si="12"/>
        <v>1609686.31</v>
      </c>
      <c r="O21" s="466">
        <f t="shared" ca="1" si="9"/>
        <v>41.667282996694439</v>
      </c>
      <c r="P21" s="466">
        <f t="shared" ca="1" si="10"/>
        <v>52.253907065358355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3863190</v>
      </c>
      <c r="M23" s="93">
        <f t="shared" ca="1" si="13"/>
        <v>3080509</v>
      </c>
      <c r="N23" s="93">
        <f t="shared" ca="1" si="13"/>
        <v>1609686.31</v>
      </c>
      <c r="O23" s="93">
        <f t="shared" ca="1" si="9"/>
        <v>41.667282996694439</v>
      </c>
      <c r="P23" s="93">
        <f t="shared" ca="1" si="10"/>
        <v>52.253907065358355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2394600</v>
      </c>
      <c r="M24" s="466">
        <f t="shared" ca="1" si="14"/>
        <v>2197900</v>
      </c>
      <c r="N24" s="466">
        <f t="shared" ca="1" si="14"/>
        <v>2191900</v>
      </c>
      <c r="O24" s="466">
        <f t="shared" ca="1" si="9"/>
        <v>91.535120688215144</v>
      </c>
      <c r="P24" s="466">
        <f t="shared" ca="1" si="10"/>
        <v>99.727012147959414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2394600</v>
      </c>
      <c r="M26" s="52">
        <f t="shared" ca="1" si="15"/>
        <v>2197900</v>
      </c>
      <c r="N26" s="52">
        <f t="shared" ca="1" si="15"/>
        <v>2191900</v>
      </c>
      <c r="O26" s="52">
        <f t="shared" ca="1" si="9"/>
        <v>91.535120688215144</v>
      </c>
      <c r="P26" s="52">
        <f t="shared" ca="1" si="10"/>
        <v>99.727012147959414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1726992</v>
      </c>
      <c r="M28" s="22">
        <f t="shared" si="16"/>
        <v>0</v>
      </c>
      <c r="N28" s="22">
        <f t="shared" si="16"/>
        <v>423953</v>
      </c>
      <c r="O28" s="22">
        <f t="shared" ref="O28:O37" ca="1" si="17">IF(L28&gt;0,N28*100/L28,0)</f>
        <v>24.548637167977617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1726992</v>
      </c>
      <c r="M30" s="30">
        <f t="shared" si="19"/>
        <v>0</v>
      </c>
      <c r="N30" s="30">
        <f t="shared" si="19"/>
        <v>423953</v>
      </c>
      <c r="O30" s="30">
        <f t="shared" ca="1" si="17"/>
        <v>24.548637167977617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1726992</v>
      </c>
      <c r="M31" s="466">
        <f t="shared" si="20"/>
        <v>0</v>
      </c>
      <c r="N31" s="466">
        <f t="shared" si="20"/>
        <v>423953</v>
      </c>
      <c r="O31" s="466">
        <f t="shared" ca="1" si="17"/>
        <v>24.548637167977617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1726992</v>
      </c>
      <c r="M33" s="93">
        <f t="shared" si="21"/>
        <v>0</v>
      </c>
      <c r="N33" s="93">
        <f t="shared" si="21"/>
        <v>423953</v>
      </c>
      <c r="O33" s="93">
        <f t="shared" ca="1" si="17"/>
        <v>24.548637167977617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6257790</v>
      </c>
      <c r="M37" s="812">
        <f t="shared" ca="1" si="24"/>
        <v>5278409</v>
      </c>
      <c r="N37" s="812">
        <f t="shared" ca="1" si="24"/>
        <v>3801586.31</v>
      </c>
      <c r="O37" s="812">
        <f t="shared" ca="1" si="17"/>
        <v>60.749662580559594</v>
      </c>
      <c r="P37" s="812">
        <f t="shared" ca="1" si="18"/>
        <v>72.021442635460801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591050</v>
      </c>
      <c r="M41" s="85">
        <f t="shared" ca="1" si="25"/>
        <v>593704</v>
      </c>
      <c r="N41" s="85">
        <f t="shared" ca="1" si="25"/>
        <v>295030</v>
      </c>
      <c r="O41" s="85">
        <f t="shared" ref="O41:O49" ca="1" si="26">IF(L41&gt;0,N41*100/L41,0)</f>
        <v>49.916250740208106</v>
      </c>
      <c r="P41" s="85">
        <f t="shared" ref="P41:P49" ca="1" si="27">IF(M41&gt;0,N41*100/M41,0)</f>
        <v>49.693113066443885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591050</v>
      </c>
      <c r="M43" s="92">
        <f t="shared" ca="1" si="28"/>
        <v>593704</v>
      </c>
      <c r="N43" s="92">
        <f t="shared" ca="1" si="28"/>
        <v>295030</v>
      </c>
      <c r="O43" s="92">
        <f t="shared" ca="1" si="26"/>
        <v>49.916250740208106</v>
      </c>
      <c r="P43" s="92">
        <f t="shared" ca="1" si="27"/>
        <v>49.693113066443885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591050</v>
      </c>
      <c r="M44" s="466">
        <f t="shared" ca="1" si="29"/>
        <v>593704</v>
      </c>
      <c r="N44" s="466">
        <f t="shared" ca="1" si="29"/>
        <v>295030</v>
      </c>
      <c r="O44" s="466">
        <f t="shared" ca="1" si="26"/>
        <v>49.916250740208106</v>
      </c>
      <c r="P44" s="466">
        <f t="shared" ca="1" si="27"/>
        <v>49.693113066443885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IFERROR(__xludf.DUMMYFUNCTION("IMPORTRANGE(""https://docs.google.com/spreadsheets/d/1MeEWN-I1oV_STSDYn1IFDPWt_1FKiwhDph83XaGc0o0/edit?usp=sharing"",""งบพรบ!M19"")"),591050)</f>
        <v>591050</v>
      </c>
      <c r="M46" s="93">
        <f ca="1">IFERROR(__xludf.DUMMYFUNCTION("IMPORTRANGE(""https://docs.google.com/spreadsheets/d/1MeEWN-I1oV_STSDYn1IFDPWt_1FKiwhDph83XaGc0o0/edit?usp=sharing"",""งบพรบ!R19"")"),593704)</f>
        <v>593704</v>
      </c>
      <c r="N46" s="93">
        <f ca="1">IFERROR(__xludf.DUMMYFUNCTION("IMPORTRANGE(""https://docs.google.com/spreadsheets/d/1MeEWN-I1oV_STSDYn1IFDPWt_1FKiwhDph83XaGc0o0/edit?usp=sharing"",""งบพรบ!T19"")"),295030)</f>
        <v>295030</v>
      </c>
      <c r="O46" s="93">
        <f t="shared" ca="1" si="26"/>
        <v>49.916250740208106</v>
      </c>
      <c r="P46" s="93">
        <f t="shared" ca="1" si="27"/>
        <v>49.693113066443885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IFERROR(__xludf.DUMMYFUNCTION("IMPORTRANGE(""https://docs.google.com/spreadsheets/d/1MeEWN-I1oV_STSDYn1IFDPWt_1FKiwhDph83XaGc0o0/edit?usp=sharing"",""งบพรบ!P19"")"),0)</f>
        <v>0</v>
      </c>
      <c r="M49" s="52">
        <f ca="1">IFERROR(__xludf.DUMMYFUNCTION("IMPORTRANGE(""https://docs.google.com/spreadsheets/d/1MeEWN-I1oV_STSDYn1IFDPWt_1FKiwhDph83XaGc0o0/edit?usp=sharing"",""งบพรบ!S19"")"),0)</f>
        <v>0</v>
      </c>
      <c r="N49" s="52">
        <f ca="1">IFERROR(__xludf.DUMMYFUNCTION("IMPORTRANGE(""https://docs.google.com/spreadsheets/d/1MeEWN-I1oV_STSDYn1IFDPWt_1FKiwhDph83XaGc0o0/edit?usp=sharing"",""งบพรบ!U19"")"),0)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742600</v>
      </c>
      <c r="M53" s="116">
        <f t="shared" ca="1" si="31"/>
        <v>556950</v>
      </c>
      <c r="N53" s="116">
        <f t="shared" ca="1" si="31"/>
        <v>348941.62</v>
      </c>
      <c r="O53" s="116">
        <f t="shared" ref="O53:O61" ca="1" si="32">IF(L53&gt;0,N53*100/L53,0)</f>
        <v>46.989175868569887</v>
      </c>
      <c r="P53" s="116">
        <f t="shared" ref="P53:P61" ca="1" si="33">IF(M53&gt;0,N53*100/M53,0)</f>
        <v>62.652234491426519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742600</v>
      </c>
      <c r="M55" s="123">
        <f t="shared" ca="1" si="34"/>
        <v>556950</v>
      </c>
      <c r="N55" s="123">
        <f t="shared" ca="1" si="34"/>
        <v>348941.62</v>
      </c>
      <c r="O55" s="123">
        <f t="shared" ca="1" si="32"/>
        <v>46.989175868569887</v>
      </c>
      <c r="P55" s="123">
        <f t="shared" ca="1" si="33"/>
        <v>62.652234491426519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742600</v>
      </c>
      <c r="M56" s="466">
        <f t="shared" ca="1" si="35"/>
        <v>556950</v>
      </c>
      <c r="N56" s="466">
        <f t="shared" ca="1" si="35"/>
        <v>348941.62</v>
      </c>
      <c r="O56" s="466">
        <f t="shared" ca="1" si="32"/>
        <v>46.989175868569887</v>
      </c>
      <c r="P56" s="466">
        <f t="shared" ca="1" si="33"/>
        <v>62.652234491426519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IFERROR(__xludf.DUMMYFUNCTION("IMPORTRANGE(""https://docs.google.com/spreadsheets/d/1MeEWN-I1oV_STSDYn1IFDPWt_1FKiwhDph83XaGc0o0/edit?usp=sharing"",""งบพรบ!W19"")"),742600)</f>
        <v>742600</v>
      </c>
      <c r="M58" s="93">
        <f ca="1">IFERROR(__xludf.DUMMYFUNCTION("IMPORTRANGE(""https://docs.google.com/spreadsheets/d/1MeEWN-I1oV_STSDYn1IFDPWt_1FKiwhDph83XaGc0o0/edit?usp=sharing"",""งบพรบ!AB19"")"),556950)</f>
        <v>556950</v>
      </c>
      <c r="N58" s="93">
        <f ca="1">IFERROR(__xludf.DUMMYFUNCTION("IMPORTRANGE(""https://docs.google.com/spreadsheets/d/1MeEWN-I1oV_STSDYn1IFDPWt_1FKiwhDph83XaGc0o0/edit?usp=sharing"",""งบพรบ!AD19"")"),348941.62)</f>
        <v>348941.62</v>
      </c>
      <c r="O58" s="93">
        <f t="shared" ca="1" si="32"/>
        <v>46.989175868569887</v>
      </c>
      <c r="P58" s="93">
        <f t="shared" ca="1" si="33"/>
        <v>62.652234491426519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IFERROR(__xludf.DUMMYFUNCTION("IMPORTRANGE(""https://docs.google.com/spreadsheets/d/1MeEWN-I1oV_STSDYn1IFDPWt_1FKiwhDph83XaGc0o0/edit?usp=sharing"",""งบพรบ!Z19"")"),0)</f>
        <v>0</v>
      </c>
      <c r="M61" s="52">
        <f ca="1">IFERROR(__xludf.DUMMYFUNCTION("IMPORTRANGE(""https://docs.google.com/spreadsheets/d/1MeEWN-I1oV_STSDYn1IFDPWt_1FKiwhDph83XaGc0o0/edit?usp=sharing"",""งบพรบ!AC19"")"),0)</f>
        <v>0</v>
      </c>
      <c r="N61" s="52">
        <f ca="1">IFERROR(__xludf.DUMMYFUNCTION("IMPORTRANGE(""https://docs.google.com/spreadsheets/d/1MeEWN-I1oV_STSDYn1IFDPWt_1FKiwhDph83XaGc0o0/edit?usp=sharing"",""งบพรบ!AE19"")"),0)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440000</v>
      </c>
      <c r="M66" s="155">
        <f t="shared" ca="1" si="39"/>
        <v>313000</v>
      </c>
      <c r="N66" s="155">
        <f t="shared" ca="1" si="39"/>
        <v>138536</v>
      </c>
      <c r="O66" s="155">
        <f t="shared" ref="O66:O74" ca="1" si="40">IF(L66&gt;0,N66*100/L66,0)</f>
        <v>31.485454545454544</v>
      </c>
      <c r="P66" s="155">
        <f t="shared" ref="P66:P74" ca="1" si="41">IF(M66&gt;0,N66*100/M66,0)</f>
        <v>44.26070287539936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440000</v>
      </c>
      <c r="M68" s="93">
        <f t="shared" ca="1" si="42"/>
        <v>313000</v>
      </c>
      <c r="N68" s="93">
        <f t="shared" ca="1" si="42"/>
        <v>138536</v>
      </c>
      <c r="O68" s="93">
        <f t="shared" ca="1" si="40"/>
        <v>31.485454545454544</v>
      </c>
      <c r="P68" s="93">
        <f t="shared" ca="1" si="41"/>
        <v>44.26070287539936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440000</v>
      </c>
      <c r="M69" s="466">
        <f t="shared" ca="1" si="43"/>
        <v>313000</v>
      </c>
      <c r="N69" s="466">
        <f t="shared" ca="1" si="43"/>
        <v>138536</v>
      </c>
      <c r="O69" s="466">
        <f t="shared" ca="1" si="40"/>
        <v>31.485454545454544</v>
      </c>
      <c r="P69" s="466">
        <f t="shared" ca="1" si="41"/>
        <v>44.26070287539936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IFERROR(__xludf.DUMMYFUNCTION("IMPORTRANGE(""https://docs.google.com/spreadsheets/d/1MeEWN-I1oV_STSDYn1IFDPWt_1FKiwhDph83XaGc0o0/edit?usp=sharing"",""งบพรบ!AG19"")"),440000)</f>
        <v>440000</v>
      </c>
      <c r="M71" s="93">
        <f ca="1">IFERROR(__xludf.DUMMYFUNCTION("IMPORTRANGE(""https://docs.google.com/spreadsheets/d/1MeEWN-I1oV_STSDYn1IFDPWt_1FKiwhDph83XaGc0o0/edit?usp=sharing"",""งบพรบ!AL19"")"),313000)</f>
        <v>313000</v>
      </c>
      <c r="N71" s="93">
        <f ca="1">IFERROR(__xludf.DUMMYFUNCTION("IMPORTRANGE(""https://docs.google.com/spreadsheets/d/1MeEWN-I1oV_STSDYn1IFDPWt_1FKiwhDph83XaGc0o0/edit?usp=sharing"",""งบพรบ!AN19"")"),138536)</f>
        <v>138536</v>
      </c>
      <c r="O71" s="93">
        <f t="shared" ca="1" si="40"/>
        <v>31.485454545454544</v>
      </c>
      <c r="P71" s="93">
        <f t="shared" ca="1" si="41"/>
        <v>44.26070287539936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IFERROR(__xludf.DUMMYFUNCTION("IMPORTRANGE(""https://docs.google.com/spreadsheets/d/1MeEWN-I1oV_STSDYn1IFDPWt_1FKiwhDph83XaGc0o0/edit?usp=sharing"",""งบพรบ!AJ19"")"),0)</f>
        <v>0</v>
      </c>
      <c r="M74" s="93">
        <f ca="1">IFERROR(__xludf.DUMMYFUNCTION("IMPORTRANGE(""https://docs.google.com/spreadsheets/d/1MeEWN-I1oV_STSDYn1IFDPWt_1FKiwhDph83XaGc0o0/edit?usp=sharing"",""งบพรบ!AM19"")"),0)</f>
        <v>0</v>
      </c>
      <c r="N74" s="93">
        <f ca="1">IFERROR(__xludf.DUMMYFUNCTION("IMPORTRANGE(""https://docs.google.com/spreadsheets/d/1MeEWN-I1oV_STSDYn1IFDPWt_1FKiwhDph83XaGc0o0/edit?usp=sharing"",""งบพรบ!AO19"")"),0)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IFERROR(__xludf.DUMMYFUNCTION("IMPORTRANGE(""https://docs.google.com/spreadsheets/d/1QqKyyYR6Q21VydFLVH3TRQUabQu_ym0Zz7PgGX0-kHA/edit?usp=sharing"",""แผน!H19"")"),1)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IFERROR(__xludf.DUMMYFUNCTION("IMPORTRANGE(""https://docs.google.com/spreadsheets/d/1QqKyyYR6Q21VydFLVH3TRQUabQu_ym0Zz7PgGX0-kHA/edit?usp=sharing"",""แผน!I19"")"),40)</f>
        <v>40</v>
      </c>
      <c r="J79" s="215">
        <v>40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IFERROR(__xludf.DUMMYFUNCTION("IMPORTRANGE(""https://docs.google.com/spreadsheets/d/1QqKyyYR6Q21VydFLVH3TRQUabQu_ym0Zz7PgGX0-kHA/edit?usp=sharing"",""แผน!F19"")"),0)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IFERROR(__xludf.DUMMYFUNCTION("IMPORTRANGE(""https://docs.google.com/spreadsheets/d/1QqKyyYR6Q21VydFLVH3TRQUabQu_ym0Zz7PgGX0-kHA/edit?usp=sharing"",""แผน!G19"")"),0)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IFERROR(__xludf.DUMMYFUNCTION("IMPORTRANGE(""https://docs.google.com/spreadsheets/d/1QqKyyYR6Q21VydFLVH3TRQUabQu_ym0Zz7PgGX0-kHA/edit?usp=sharing"",""แผน!D19"")"),0)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IFERROR(__xludf.DUMMYFUNCTION("IMPORTRANGE(""https://docs.google.com/spreadsheets/d/1QqKyyYR6Q21VydFLVH3TRQUabQu_ym0Zz7PgGX0-kHA/edit?usp=sharing"",""แผน!E19"")"),0)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IFERROR(__xludf.DUMMYFUNCTION("IMPORTRANGE(""https://docs.google.com/spreadsheets/d/1QqKyyYR6Q21VydFLVH3TRQUabQu_ym0Zz7PgGX0-kHA/edit?usp=sharing"",""แผน!J19"")"),1)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150</v>
      </c>
      <c r="J86" s="144">
        <f t="shared" si="47"/>
        <v>150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50</v>
      </c>
      <c r="J87" s="144">
        <f t="shared" si="47"/>
        <v>50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269500</v>
      </c>
      <c r="M88" s="155">
        <f t="shared" ca="1" si="49"/>
        <v>215500</v>
      </c>
      <c r="N88" s="155">
        <f t="shared" ca="1" si="49"/>
        <v>142570</v>
      </c>
      <c r="O88" s="155">
        <f t="shared" ref="O88:O96" ca="1" si="50">IF(L88&gt;0,N88*100/L88,0)</f>
        <v>52.901669758812616</v>
      </c>
      <c r="P88" s="155">
        <f t="shared" ref="P88:P96" ca="1" si="51">IF(M88&gt;0,N88*100/M88,0)</f>
        <v>66.157772621809741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269500</v>
      </c>
      <c r="M90" s="93">
        <f t="shared" ca="1" si="52"/>
        <v>215500</v>
      </c>
      <c r="N90" s="93">
        <f t="shared" ca="1" si="52"/>
        <v>142570</v>
      </c>
      <c r="O90" s="93">
        <f t="shared" ca="1" si="50"/>
        <v>52.901669758812616</v>
      </c>
      <c r="P90" s="93">
        <f t="shared" ca="1" si="51"/>
        <v>66.157772621809741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269500</v>
      </c>
      <c r="M91" s="466">
        <f t="shared" ca="1" si="53"/>
        <v>215500</v>
      </c>
      <c r="N91" s="466">
        <f t="shared" ca="1" si="53"/>
        <v>142570</v>
      </c>
      <c r="O91" s="466">
        <f t="shared" ca="1" si="50"/>
        <v>52.901669758812616</v>
      </c>
      <c r="P91" s="466">
        <f t="shared" ca="1" si="51"/>
        <v>66.157772621809741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IFERROR(__xludf.DUMMYFUNCTION("IMPORTRANGE(""https://docs.google.com/spreadsheets/d/1MeEWN-I1oV_STSDYn1IFDPWt_1FKiwhDph83XaGc0o0/edit?usp=sharing"",""งบพรบ!AQ19"")"),269500)</f>
        <v>269500</v>
      </c>
      <c r="M93" s="93">
        <f ca="1">IFERROR(__xludf.DUMMYFUNCTION("IMPORTRANGE(""https://docs.google.com/spreadsheets/d/1MeEWN-I1oV_STSDYn1IFDPWt_1FKiwhDph83XaGc0o0/edit?usp=sharing"",""งบพรบ!AV19"")"),215500)</f>
        <v>215500</v>
      </c>
      <c r="N93" s="93">
        <f ca="1">IFERROR(__xludf.DUMMYFUNCTION("IMPORTRANGE(""https://docs.google.com/spreadsheets/d/1MeEWN-I1oV_STSDYn1IFDPWt_1FKiwhDph83XaGc0o0/edit?usp=sharing"",""งบพรบ!AX19"")"),142570)</f>
        <v>142570</v>
      </c>
      <c r="O93" s="93">
        <f t="shared" ca="1" si="50"/>
        <v>52.901669758812616</v>
      </c>
      <c r="P93" s="93">
        <f t="shared" ca="1" si="51"/>
        <v>66.157772621809741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IFERROR(__xludf.DUMMYFUNCTION("IMPORTRANGE(""https://docs.google.com/spreadsheets/d/1MeEWN-I1oV_STSDYn1IFDPWt_1FKiwhDph83XaGc0o0/edit?usp=sharing"",""งบพรบ!AT19"")"),0)</f>
        <v>0</v>
      </c>
      <c r="M96" s="93">
        <f ca="1">IFERROR(__xludf.DUMMYFUNCTION("IMPORTRANGE(""https://docs.google.com/spreadsheets/d/1MeEWN-I1oV_STSDYn1IFDPWt_1FKiwhDph83XaGc0o0/edit?usp=sharing"",""งบพรบ!AW19"")"),0)</f>
        <v>0</v>
      </c>
      <c r="N96" s="93">
        <f ca="1">IFERROR(__xludf.DUMMYFUNCTION("IMPORTRANGE(""https://docs.google.com/spreadsheets/d/1MeEWN-I1oV_STSDYn1IFDPWt_1FKiwhDph83XaGc0o0/edit?usp=sharing"",""งบพรบ!AY19"")"),0)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IFERROR(__xludf.DUMMYFUNCTION("IMPORTRANGE(""https://docs.google.com/spreadsheets/d/1QqKyyYR6Q21VydFLVH3TRQUabQu_ym0Zz7PgGX0-kHA/edit?usp=sharing"",""แผน!K19"")"),150)</f>
        <v>150</v>
      </c>
      <c r="J98" s="270">
        <f>J102</f>
        <v>150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IFERROR(__xludf.DUMMYFUNCTION("IMPORTRANGE(""https://docs.google.com/spreadsheets/d/1QqKyyYR6Q21VydFLVH3TRQUabQu_ym0Zz7PgGX0-kHA/edit?usp=sharing"",""แผน!L19"")"),50)</f>
        <v>50</v>
      </c>
      <c r="J99" s="270">
        <f>J104</f>
        <v>50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IFERROR(__xludf.DUMMYFUNCTION("IMPORTRANGE(""https://docs.google.com/spreadsheets/d/1QqKyyYR6Q21VydFLVH3TRQUabQu_ym0Zz7PgGX0-kHA/edit?usp=sharing"",""แผน!M19"")"),0)</f>
        <v>0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IFERROR(__xludf.DUMMYFUNCTION("IMPORTRANGE(""https://docs.google.com/spreadsheets/d/1QqKyyYR6Q21VydFLVH3TRQUabQu_ym0Zz7PgGX0-kHA/edit?usp=sharing"",""แผน!N19"")"),150)</f>
        <v>150</v>
      </c>
      <c r="J102" s="215">
        <v>150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IFERROR(__xludf.DUMMYFUNCTION("IMPORTRANGE(""https://docs.google.com/spreadsheets/d/1QqKyyYR6Q21VydFLVH3TRQUabQu_ym0Zz7PgGX0-kHA/edit?usp=sharing"",""แผน!O19"")"),50)</f>
        <v>50</v>
      </c>
      <c r="J103" s="215">
        <v>50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IFERROR(__xludf.DUMMYFUNCTION("IMPORTRANGE(""https://docs.google.com/spreadsheets/d/1QqKyyYR6Q21VydFLVH3TRQUabQu_ym0Zz7PgGX0-kHA/edit?usp=sharing"",""แผน!O19"")"),50)</f>
        <v>50</v>
      </c>
      <c r="J104" s="215">
        <v>50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IFERROR(__xludf.DUMMYFUNCTION("IMPORTRANGE(""https://docs.google.com/spreadsheets/d/1QqKyyYR6Q21VydFLVH3TRQUabQu_ym0Zz7PgGX0-kHA/edit?usp=sharing"",""แผน!P19"")"),0)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IFERROR(__xludf.DUMMYFUNCTION("IMPORTRANGE(""https://docs.google.com/spreadsheets/d/1QqKyyYR6Q21VydFLVH3TRQUabQu_ym0Zz7PgGX0-kHA/edit?usp=sharing"",""แผน!P19"")"),0)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IFERROR(__xludf.DUMMYFUNCTION("IMPORTRANGE(""https://docs.google.com/spreadsheets/d/1QqKyyYR6Q21VydFLVH3TRQUabQu_ym0Zz7PgGX0-kHA/edit?usp=sharing"",""แผน!Q19"")"),0)</f>
        <v>0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IFERROR(__xludf.DUMMYFUNCTION("IMPORTRANGE(""https://docs.google.com/spreadsheets/d/1QqKyyYR6Q21VydFLVH3TRQUabQu_ym0Zz7PgGX0-kHA/edit?usp=sharing"",""แผน!Q19"")"),0)</f>
        <v>0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IFERROR(__xludf.DUMMYFUNCTION("IMPORTRANGE(""https://docs.google.com/spreadsheets/d/1QqKyyYR6Q21VydFLVH3TRQUabQu_ym0Zz7PgGX0-kHA/edit?usp=sharing"",""แผน!R19"")"),50)</f>
        <v>50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0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IFERROR(__xludf.DUMMYFUNCTION("IMPORTRANGE(""https://docs.google.com/spreadsheets/d/1QqKyyYR6Q21VydFLVH3TRQUabQu_ym0Zz7PgGX0-kHA/edit?usp=sharing"",""แผน!R19"")"),50)</f>
        <v>50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IFERROR(__xludf.DUMMYFUNCTION("IMPORTRANGE(""https://docs.google.com/spreadsheets/d/1QqKyyYR6Q21VydFLVH3TRQUabQu_ym0Zz7PgGX0-kHA/edit?usp=sharing"",""แผน!R19"")"),50)</f>
        <v>50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IFERROR(__xludf.DUMMYFUNCTION("IMPORTRANGE(""https://docs.google.com/spreadsheets/d/1QqKyyYR6Q21VydFLVH3TRQUabQu_ym0Zz7PgGX0-kHA/edit?usp=sharing"",""แผน!S19"")"),0)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IFERROR(__xludf.DUMMYFUNCTION("IMPORTRANGE(""https://docs.google.com/spreadsheets/d/1QqKyyYR6Q21VydFLVH3TRQUabQu_ym0Zz7PgGX0-kHA/edit?usp=sharing"",""แผน!T19"")"),0)</f>
        <v>0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2067000</v>
      </c>
      <c r="M119" s="155">
        <f t="shared" ca="1" si="60"/>
        <v>1891300</v>
      </c>
      <c r="N119" s="155">
        <f t="shared" ca="1" si="60"/>
        <v>1891300</v>
      </c>
      <c r="O119" s="155">
        <f t="shared" ref="O119:O127" ca="1" si="61">IF(L119&gt;0,N119*100/L119,0)</f>
        <v>91.49975810353169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2067000</v>
      </c>
      <c r="M121" s="93">
        <f t="shared" ca="1" si="63"/>
        <v>1891300</v>
      </c>
      <c r="N121" s="93">
        <f t="shared" ca="1" si="63"/>
        <v>1891300</v>
      </c>
      <c r="O121" s="93">
        <f t="shared" ca="1" si="61"/>
        <v>91.49975810353169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IFERROR(__xludf.DUMMYFUNCTION("IMPORTRANGE(""https://docs.google.com/spreadsheets/d/1MeEWN-I1oV_STSDYn1IFDPWt_1FKiwhDph83XaGc0o0/edit?usp=sharing"",""งบพรบ!BA19"")"),0)</f>
        <v>0</v>
      </c>
      <c r="M124" s="93">
        <f ca="1">IFERROR(__xludf.DUMMYFUNCTION("IMPORTRANGE(""https://docs.google.com/spreadsheets/d/1MeEWN-I1oV_STSDYn1IFDPWt_1FKiwhDph83XaGc0o0/edit?usp=sharing"",""งบพรบ!BF19"")"),0)</f>
        <v>0</v>
      </c>
      <c r="N124" s="93">
        <f ca="1">IFERROR(__xludf.DUMMYFUNCTION("IMPORTRANGE(""https://docs.google.com/spreadsheets/d/1MeEWN-I1oV_STSDYn1IFDPWt_1FKiwhDph83XaGc0o0/edit?usp=sharing"",""งบพรบ!BH19"")"),0)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2067000</v>
      </c>
      <c r="M125" s="466">
        <f t="shared" ca="1" si="65"/>
        <v>1891300</v>
      </c>
      <c r="N125" s="466">
        <f t="shared" ca="1" si="65"/>
        <v>1891300</v>
      </c>
      <c r="O125" s="466">
        <f t="shared" ca="1" si="61"/>
        <v>91.49975810353169</v>
      </c>
      <c r="P125" s="466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IFERROR(__xludf.DUMMYFUNCTION("IMPORTRANGE(""https://docs.google.com/spreadsheets/d/1MeEWN-I1oV_STSDYn1IFDPWt_1FKiwhDph83XaGc0o0/edit?usp=sharing"",""งบพรบ!BD19"")"),2067000)</f>
        <v>2067000</v>
      </c>
      <c r="M127" s="93">
        <f ca="1">IFERROR(__xludf.DUMMYFUNCTION("IMPORTRANGE(""https://docs.google.com/spreadsheets/d/1MeEWN-I1oV_STSDYn1IFDPWt_1FKiwhDph83XaGc0o0/edit?usp=sharing"",""งบพรบ!BG19"")"),1891300)</f>
        <v>1891300</v>
      </c>
      <c r="N127" s="93">
        <f ca="1">IFERROR(__xludf.DUMMYFUNCTION("IMPORTRANGE(""https://docs.google.com/spreadsheets/d/1MeEWN-I1oV_STSDYn1IFDPWt_1FKiwhDph83XaGc0o0/edit?usp=sharing"",""งบพรบ!BI19"")"),1891300)</f>
        <v>1891300</v>
      </c>
      <c r="O127" s="93">
        <f t="shared" ca="1" si="61"/>
        <v>91.49975810353169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303310</v>
      </c>
      <c r="M132" s="155">
        <f t="shared" ca="1" si="69"/>
        <v>272700</v>
      </c>
      <c r="N132" s="155">
        <f t="shared" ca="1" si="69"/>
        <v>185570</v>
      </c>
      <c r="O132" s="155">
        <f t="shared" ref="O132:O140" ca="1" si="70">IF(L132&gt;0,N132*100/L132,0)</f>
        <v>61.181629356104317</v>
      </c>
      <c r="P132" s="155">
        <f t="shared" ref="P132:P140" ca="1" si="71">IF(M132&gt;0,N132*100/M132,0)</f>
        <v>68.049138247158055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303310</v>
      </c>
      <c r="M134" s="93">
        <f t="shared" ca="1" si="72"/>
        <v>272700</v>
      </c>
      <c r="N134" s="93">
        <f t="shared" ca="1" si="72"/>
        <v>185570</v>
      </c>
      <c r="O134" s="93">
        <f t="shared" ca="1" si="70"/>
        <v>61.181629356104317</v>
      </c>
      <c r="P134" s="93">
        <f t="shared" ca="1" si="71"/>
        <v>68.049138247158055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97310</v>
      </c>
      <c r="M135" s="466">
        <f t="shared" ca="1" si="73"/>
        <v>87700</v>
      </c>
      <c r="N135" s="466">
        <f t="shared" ca="1" si="73"/>
        <v>6570</v>
      </c>
      <c r="O135" s="466">
        <f t="shared" ca="1" si="70"/>
        <v>6.7516185386907823</v>
      </c>
      <c r="P135" s="466">
        <f t="shared" ca="1" si="71"/>
        <v>7.4914481185860886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IFERROR(__xludf.DUMMYFUNCTION("IMPORTRANGE(""https://docs.google.com/spreadsheets/d/1MeEWN-I1oV_STSDYn1IFDPWt_1FKiwhDph83XaGc0o0/edit?usp=sharing"",""งบพรบ!BK19"")"),97310)</f>
        <v>97310</v>
      </c>
      <c r="M137" s="93">
        <f ca="1">IFERROR(__xludf.DUMMYFUNCTION("IMPORTRANGE(""https://docs.google.com/spreadsheets/d/1MeEWN-I1oV_STSDYn1IFDPWt_1FKiwhDph83XaGc0o0/edit?usp=sharing"",""งบพรบ!BP19"")"),87700)</f>
        <v>87700</v>
      </c>
      <c r="N137" s="93">
        <f ca="1">IFERROR(__xludf.DUMMYFUNCTION("IMPORTRANGE(""https://docs.google.com/spreadsheets/d/1MeEWN-I1oV_STSDYn1IFDPWt_1FKiwhDph83XaGc0o0/edit?usp=sharing"",""งบพรบ!BR19"")"),6570)</f>
        <v>6570</v>
      </c>
      <c r="O137" s="93">
        <f t="shared" ca="1" si="70"/>
        <v>6.7516185386907823</v>
      </c>
      <c r="P137" s="93">
        <f t="shared" ca="1" si="71"/>
        <v>7.4914481185860886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206000</v>
      </c>
      <c r="M138" s="466">
        <f t="shared" ca="1" si="74"/>
        <v>185000</v>
      </c>
      <c r="N138" s="466">
        <f t="shared" ca="1" si="74"/>
        <v>179000</v>
      </c>
      <c r="O138" s="466">
        <f t="shared" ca="1" si="70"/>
        <v>86.893203883495147</v>
      </c>
      <c r="P138" s="466">
        <f t="shared" ca="1" si="71"/>
        <v>96.756756756756758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IFERROR(__xludf.DUMMYFUNCTION("IMPORTRANGE(""https://docs.google.com/spreadsheets/d/1MeEWN-I1oV_STSDYn1IFDPWt_1FKiwhDph83XaGc0o0/edit?usp=sharing"",""งบพรบ!BN19"")"),206000)</f>
        <v>206000</v>
      </c>
      <c r="M140" s="93">
        <f ca="1">IFERROR(__xludf.DUMMYFUNCTION("IMPORTRANGE(""https://docs.google.com/spreadsheets/d/1MeEWN-I1oV_STSDYn1IFDPWt_1FKiwhDph83XaGc0o0/edit?usp=sharing"",""งบพรบ!BQ19"")"),185000)</f>
        <v>185000</v>
      </c>
      <c r="N140" s="93">
        <f ca="1">IFERROR(__xludf.DUMMYFUNCTION("IMPORTRANGE(""https://docs.google.com/spreadsheets/d/1MeEWN-I1oV_STSDYn1IFDPWt_1FKiwhDph83XaGc0o0/edit?usp=sharing"",""งบพรบ!BS19"")"),179000)</f>
        <v>179000</v>
      </c>
      <c r="O140" s="93">
        <f t="shared" ca="1" si="70"/>
        <v>86.893203883495147</v>
      </c>
      <c r="P140" s="93">
        <f t="shared" ca="1" si="71"/>
        <v>96.756756756756758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IFERROR(__xludf.DUMMYFUNCTION("IMPORTRANGE(""https://docs.google.com/spreadsheets/d/1QqKyyYR6Q21VydFLVH3TRQUabQu_ym0Zz7PgGX0-kHA/edit?usp=sharing"",""แผน!U19"")"),10)</f>
        <v>10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IFERROR(__xludf.DUMMYFUNCTION("IMPORTRANGE(""https://docs.google.com/spreadsheets/d/1QqKyyYR6Q21VydFLVH3TRQUabQu_ym0Zz7PgGX0-kHA/edit?usp=sharing"",""แผน!V19"")"),20)</f>
        <v>20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IFERROR(__xludf.DUMMYFUNCTION("IMPORTRANGE(""https://docs.google.com/spreadsheets/d/1QqKyyYR6Q21VydFLVH3TRQUabQu_ym0Zz7PgGX0-kHA/edit?usp=sharing"",""แผน!W19"")"),2)</f>
        <v>2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IFERROR(__xludf.DUMMYFUNCTION("IMPORTRANGE(""https://docs.google.com/spreadsheets/d/1MeEWN-I1oV_STSDYn1IFDPWt_1FKiwhDph83XaGc0o0/edit?usp=sharing"",""งบพรบ!BU19"")"),0)</f>
        <v>0</v>
      </c>
      <c r="M154" s="93">
        <f ca="1">IFERROR(__xludf.DUMMYFUNCTION("IMPORTRANGE(""https://docs.google.com/spreadsheets/d/1MeEWN-I1oV_STSDYn1IFDPWt_1FKiwhDph83XaGc0o0/edit?usp=sharing"",""งบพรบ!BZ19"")"),0)</f>
        <v>0</v>
      </c>
      <c r="N154" s="93">
        <f ca="1">IFERROR(__xludf.DUMMYFUNCTION("IMPORTRANGE(""https://docs.google.com/spreadsheets/d/1MeEWN-I1oV_STSDYn1IFDPWt_1FKiwhDph83XaGc0o0/edit?usp=sharing"",""งบพรบ!CB19"")"),0)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IFERROR(__xludf.DUMMYFUNCTION("IMPORTRANGE(""https://docs.google.com/spreadsheets/d/1MeEWN-I1oV_STSDYn1IFDPWt_1FKiwhDph83XaGc0o0/edit?usp=sharing"",""งบพรบ!BX19"")"),0)</f>
        <v>0</v>
      </c>
      <c r="M157" s="93">
        <f ca="1">IFERROR(__xludf.DUMMYFUNCTION("IMPORTRANGE(""https://docs.google.com/spreadsheets/d/1MeEWN-I1oV_STSDYn1IFDPWt_1FKiwhDph83XaGc0o0/edit?usp=sharing"",""งบพรบ!CA19"")"),0)</f>
        <v>0</v>
      </c>
      <c r="N157" s="93">
        <f ca="1">IFERROR(__xludf.DUMMYFUNCTION("IMPORTRANGE(""https://docs.google.com/spreadsheets/d/1MeEWN-I1oV_STSDYn1IFDPWt_1FKiwhDph83XaGc0o0/edit?usp=sharing"",""งบพรบ!CC19"")"),0)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IFERROR(__xludf.DUMMYFUNCTION("IMPORTRANGE(""https://docs.google.com/spreadsheets/d/1QqKyyYR6Q21VydFLVH3TRQUabQu_ym0Zz7PgGX0-kHA/edit?usp=sharing"",""แผน!X19"")"),0)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41260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51.017935046049445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21050</v>
      </c>
      <c r="M167" s="93">
        <f t="shared" ca="1" si="87"/>
        <v>41260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51.017935046049445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41260</v>
      </c>
      <c r="N168" s="466">
        <f t="shared" ca="1" si="88"/>
        <v>21050</v>
      </c>
      <c r="O168" s="466">
        <f t="shared" ca="1" si="85"/>
        <v>100</v>
      </c>
      <c r="P168" s="466">
        <f t="shared" ca="1" si="86"/>
        <v>51.017935046049445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IFERROR(__xludf.DUMMYFUNCTION("IMPORTRANGE(""https://docs.google.com/spreadsheets/d/1MeEWN-I1oV_STSDYn1IFDPWt_1FKiwhDph83XaGc0o0/edit?usp=sharing"",""งบพรบ!CE19"")"),21050)</f>
        <v>21050</v>
      </c>
      <c r="M170" s="93">
        <f ca="1">IFERROR(__xludf.DUMMYFUNCTION("IMPORTRANGE(""https://docs.google.com/spreadsheets/d/1MeEWN-I1oV_STSDYn1IFDPWt_1FKiwhDph83XaGc0o0/edit?usp=sharing"",""งบพรบ!CJ19"")"),41260)</f>
        <v>41260</v>
      </c>
      <c r="N170" s="93">
        <f ca="1">IFERROR(__xludf.DUMMYFUNCTION("IMPORTRANGE(""https://docs.google.com/spreadsheets/d/1MeEWN-I1oV_STSDYn1IFDPWt_1FKiwhDph83XaGc0o0/edit?usp=sharing"",""งบพรบ!CL19"")"),21050)</f>
        <v>21050</v>
      </c>
      <c r="O170" s="93">
        <f t="shared" ca="1" si="85"/>
        <v>100</v>
      </c>
      <c r="P170" s="93">
        <f t="shared" ca="1" si="86"/>
        <v>51.017935046049445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IFERROR(__xludf.DUMMYFUNCTION("IMPORTRANGE(""https://docs.google.com/spreadsheets/d/1MeEWN-I1oV_STSDYn1IFDPWt_1FKiwhDph83XaGc0o0/edit?usp=sharing"",""งบพรบ!CH19"")"),0)</f>
        <v>0</v>
      </c>
      <c r="M173" s="93">
        <f ca="1">IFERROR(__xludf.DUMMYFUNCTION("IMPORTRANGE(""https://docs.google.com/spreadsheets/d/1MeEWN-I1oV_STSDYn1IFDPWt_1FKiwhDph83XaGc0o0/edit?usp=sharing"",""งบพรบ!CK19"")"),0)</f>
        <v>0</v>
      </c>
      <c r="N173" s="93">
        <f ca="1">IFERROR(__xludf.DUMMYFUNCTION("IMPORTRANGE(""https://docs.google.com/spreadsheets/d/1MeEWN-I1oV_STSDYn1IFDPWt_1FKiwhDph83XaGc0o0/edit?usp=sharing"",""งบพรบ!CM19"")"),0)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IFERROR(__xludf.DUMMYFUNCTION("IMPORTRANGE(""https://docs.google.com/spreadsheets/d/1QqKyyYR6Q21VydFLVH3TRQUabQu_ym0Zz7PgGX0-kHA/edit?usp=sharing"",""แผน!Y19"")"),10)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80</v>
      </c>
      <c r="J180" s="253">
        <f t="shared" si="91"/>
        <v>80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962600</v>
      </c>
      <c r="M181" s="155">
        <f t="shared" ca="1" si="92"/>
        <v>770725</v>
      </c>
      <c r="N181" s="155">
        <f t="shared" ca="1" si="92"/>
        <v>403684.69</v>
      </c>
      <c r="O181" s="155">
        <f t="shared" ref="O181:O189" ca="1" si="93">IF(L181&gt;0,N181*100/L181,0)</f>
        <v>41.936909412009143</v>
      </c>
      <c r="P181" s="155">
        <f t="shared" ref="P181:P189" ca="1" si="94">IF(M181&gt;0,N181*100/M181,0)</f>
        <v>52.377266859126145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962600</v>
      </c>
      <c r="M183" s="93">
        <f t="shared" ca="1" si="95"/>
        <v>770725</v>
      </c>
      <c r="N183" s="93">
        <f t="shared" ca="1" si="95"/>
        <v>403684.69</v>
      </c>
      <c r="O183" s="93">
        <f t="shared" ca="1" si="93"/>
        <v>41.936909412009143</v>
      </c>
      <c r="P183" s="93">
        <f t="shared" ca="1" si="94"/>
        <v>52.377266859126145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6">L185+L186</f>
        <v>962600</v>
      </c>
      <c r="M184" s="466">
        <f t="shared" ca="1" si="96"/>
        <v>770725</v>
      </c>
      <c r="N184" s="466">
        <f t="shared" ca="1" si="96"/>
        <v>403684.69</v>
      </c>
      <c r="O184" s="466">
        <f t="shared" ca="1" si="93"/>
        <v>41.936909412009143</v>
      </c>
      <c r="P184" s="466">
        <f t="shared" ca="1" si="94"/>
        <v>52.377266859126145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IFERROR(__xludf.DUMMYFUNCTION("IMPORTRANGE(""https://docs.google.com/spreadsheets/d/1MeEWN-I1oV_STSDYn1IFDPWt_1FKiwhDph83XaGc0o0/edit?usp=sharing"",""งบพรบ!CO19"")"),962600)</f>
        <v>962600</v>
      </c>
      <c r="M186" s="93">
        <f ca="1">IFERROR(__xludf.DUMMYFUNCTION("IMPORTRANGE(""https://docs.google.com/spreadsheets/d/1MeEWN-I1oV_STSDYn1IFDPWt_1FKiwhDph83XaGc0o0/edit?usp=sharing"",""งบพรบ!CT19"")"),770725)</f>
        <v>770725</v>
      </c>
      <c r="N186" s="93">
        <f ca="1">IFERROR(__xludf.DUMMYFUNCTION("IMPORTRANGE(""https://docs.google.com/spreadsheets/d/1MeEWN-I1oV_STSDYn1IFDPWt_1FKiwhDph83XaGc0o0/edit?usp=sharing"",""งบพรบ!CV19"")"),403684.69)</f>
        <v>403684.69</v>
      </c>
      <c r="O186" s="93">
        <f t="shared" ca="1" si="93"/>
        <v>41.936909412009143</v>
      </c>
      <c r="P186" s="93">
        <f t="shared" ca="1" si="94"/>
        <v>52.377266859126145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IFERROR(__xludf.DUMMYFUNCTION("IMPORTRANGE(""https://docs.google.com/spreadsheets/d/1MeEWN-I1oV_STSDYn1IFDPWt_1FKiwhDph83XaGc0o0/edit?usp=sharing"",""งบพรบ!CR19"")"),0)</f>
        <v>0</v>
      </c>
      <c r="M189" s="93">
        <f ca="1">IFERROR(__xludf.DUMMYFUNCTION("IMPORTRANGE(""https://docs.google.com/spreadsheets/d/1MeEWN-I1oV_STSDYn1IFDPWt_1FKiwhDph83XaGc0o0/edit?usp=sharing"",""งบพรบ!CU19"")"),0)</f>
        <v>0</v>
      </c>
      <c r="N189" s="93">
        <f ca="1">IFERROR(__xludf.DUMMYFUNCTION("IMPORTRANGE(""https://docs.google.com/spreadsheets/d/1MeEWN-I1oV_STSDYn1IFDPWt_1FKiwhDph83XaGc0o0/edit?usp=sharing"",""งบพรบ!CW19"")"),0)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IFERROR(__xludf.DUMMYFUNCTION("IMPORTRANGE(""https://docs.google.com/spreadsheets/d/1QqKyyYR6Q21VydFLVH3TRQUabQu_ym0Zz7PgGX0-kHA/edit?usp=sharing"",""แผน!Z19"")"),6000)</f>
        <v>6000</v>
      </c>
      <c r="M191" s="155"/>
      <c r="N191" s="276">
        <v>1500</v>
      </c>
      <c r="O191" s="155">
        <f ca="1">IF(L191&gt;0,N191*100/L191,0)</f>
        <v>25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IFERROR(__xludf.DUMMYFUNCTION("IMPORTRANGE(""https://docs.google.com/spreadsheets/d/1QqKyyYR6Q21VydFLVH3TRQUabQu_ym0Zz7PgGX0-kHA/edit?usp=sharing"",""แผน!AC19"")"),4)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80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80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57000</v>
      </c>
      <c r="M198" s="155"/>
      <c r="N198" s="155">
        <f>N199+N200+N201+N202</f>
        <v>34420</v>
      </c>
      <c r="O198" s="155">
        <f ca="1">IF(L198&gt;0,N198*100/L198,0)</f>
        <v>60.385964912280699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IFERROR(__xludf.DUMMYFUNCTION("IMPORTRANGE(""https://docs.google.com/spreadsheets/d/1QqKyyYR6Q21VydFLVH3TRQUabQu_ym0Zz7PgGX0-kHA/edit?usp=sharing"",""แผน!AE19"")"),4000)</f>
        <v>4000</v>
      </c>
      <c r="M199" s="466"/>
      <c r="N199" s="801">
        <v>2500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IFERROR(__xludf.DUMMYFUNCTION("IMPORTRANGE(""https://docs.google.com/spreadsheets/d/1QqKyyYR6Q21VydFLVH3TRQUabQu_ym0Zz7PgGX0-kHA/edit?usp=sharing"",""แผน!AF19"")"),32000)</f>
        <v>32000</v>
      </c>
      <c r="M200" s="466"/>
      <c r="N200" s="801">
        <v>31920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IFERROR(__xludf.DUMMYFUNCTION("IMPORTRANGE(""https://docs.google.com/spreadsheets/d/1QqKyyYR6Q21VydFLVH3TRQUabQu_ym0Zz7PgGX0-kHA/edit?usp=sharing"",""แผน!AG19"")"),16000)</f>
        <v>16000</v>
      </c>
      <c r="M201" s="466"/>
      <c r="N201" s="801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IFERROR(__xludf.DUMMYFUNCTION("IMPORTRANGE(""https://docs.google.com/spreadsheets/d/1QqKyyYR6Q21VydFLVH3TRQUabQu_ym0Zz7PgGX0-kHA/edit?usp=sharing"",""แผน!AH19"")"),5000)</f>
        <v>5000</v>
      </c>
      <c r="M202" s="466"/>
      <c r="N202" s="801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IFERROR(__xludf.DUMMYFUNCTION("IMPORTRANGE(""https://docs.google.com/spreadsheets/d/1QqKyyYR6Q21VydFLVH3TRQUabQu_ym0Zz7PgGX0-kHA/edit?usp=sharing"",""แผน!AI19"")"),4)</f>
        <v>4</v>
      </c>
      <c r="J204" s="215">
        <v>4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IFERROR(__xludf.DUMMYFUNCTION("IMPORTRANGE(""https://docs.google.com/spreadsheets/d/1QqKyyYR6Q21VydFLVH3TRQUabQu_ym0Zz7PgGX0-kHA/edit?usp=sharing"",""แผน!AK19"")"),0)</f>
        <v>0</v>
      </c>
      <c r="M210" s="466"/>
      <c r="N210" s="801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IFERROR(__xludf.DUMMYFUNCTION("IMPORTRANGE(""https://docs.google.com/spreadsheets/d/1QqKyyYR6Q21VydFLVH3TRQUabQu_ym0Zz7PgGX0-kHA/edit?usp=sharing"",""แผน!AL19"")"),0)</f>
        <v>0</v>
      </c>
      <c r="M211" s="466"/>
      <c r="N211" s="801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IFERROR(__xludf.DUMMYFUNCTION("IMPORTRANGE(""https://docs.google.com/spreadsheets/d/1QqKyyYR6Q21VydFLVH3TRQUabQu_ym0Zz7PgGX0-kHA/edit?usp=sharing"",""แผน!AM19"")"),0)</f>
        <v>0</v>
      </c>
      <c r="M212" s="466"/>
      <c r="N212" s="801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IFERROR(__xludf.DUMMYFUNCTION("IMPORTRANGE(""https://docs.google.com/spreadsheets/d/1QqKyyYR6Q21VydFLVH3TRQUabQu_ym0Zz7PgGX0-kHA/edit?usp=sharing"",""แผน!AN19"")"),0)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IFERROR(__xludf.DUMMYFUNCTION("IMPORTRANGE(""https://docs.google.com/spreadsheets/d/1QqKyyYR6Q21VydFLVH3TRQUabQu_ym0Zz7PgGX0-kHA/edit?usp=sharing"",""แผน!AN19"")"),0)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IFERROR(__xludf.DUMMYFUNCTION("IMPORTRANGE(""https://docs.google.com/spreadsheets/d/1QqKyyYR6Q21VydFLVH3TRQUabQu_ym0Zz7PgGX0-kHA/edit?usp=sharing"",""แผน!AP19"")"),5000)</f>
        <v>5000</v>
      </c>
      <c r="M218" s="466"/>
      <c r="N218" s="801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IFERROR(__xludf.DUMMYFUNCTION("IMPORTRANGE(""https://docs.google.com/spreadsheets/d/1QqKyyYR6Q21VydFLVH3TRQUabQu_ym0Zz7PgGX0-kHA/edit?usp=sharing"",""แผน!AQ19"")"),13500)</f>
        <v>13500</v>
      </c>
      <c r="M219" s="466"/>
      <c r="N219" s="801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IFERROR(__xludf.DUMMYFUNCTION("IMPORTRANGE(""https://docs.google.com/spreadsheets/d/1QqKyyYR6Q21VydFLVH3TRQUabQu_ym0Zz7PgGX0-kHA/edit?usp=sharing"",""แผน!AR19"")"),0)</f>
        <v>0</v>
      </c>
      <c r="M220" s="466"/>
      <c r="N220" s="801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IFERROR(__xludf.DUMMYFUNCTION("IMPORTRANGE(""https://docs.google.com/spreadsheets/d/1QqKyyYR6Q21VydFLVH3TRQUabQu_ym0Zz7PgGX0-kHA/edit?usp=sharing"",""แผน!AT19"")"),50000)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IFERROR(__xludf.DUMMYFUNCTION("IMPORTRANGE(""https://docs.google.com/spreadsheets/d/1QqKyyYR6Q21VydFLVH3TRQUabQu_ym0Zz7PgGX0-kHA/edit?usp=sharing"",""แผน!AT19"")"),50000)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IFERROR(__xludf.DUMMYFUNCTION("IMPORTRANGE(""https://docs.google.com/spreadsheets/d/1QqKyyYR6Q21VydFLVH3TRQUabQu_ym0Zz7PgGX0-kHA/edit?usp=sharing"",""แผน!AS19"")"),0)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5">I237+I248</f>
        <v>80</v>
      </c>
      <c r="J226" s="821">
        <f t="shared" si="105"/>
        <v>80</v>
      </c>
      <c r="K226" s="822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6">L238+L249</f>
        <v>381600</v>
      </c>
      <c r="M227" s="831"/>
      <c r="N227" s="831">
        <f t="shared" ref="N227:N231" si="107">N238+N249</f>
        <v>140350</v>
      </c>
      <c r="O227" s="832"/>
      <c r="P227" s="83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185000</v>
      </c>
      <c r="M228" s="93"/>
      <c r="N228" s="93">
        <f t="shared" si="107"/>
        <v>66660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111600</v>
      </c>
      <c r="M229" s="93"/>
      <c r="N229" s="93">
        <f t="shared" si="107"/>
        <v>73690</v>
      </c>
      <c r="O229" s="93"/>
      <c r="P229" s="93"/>
      <c r="Q229" s="835"/>
      <c r="R229" s="835"/>
      <c r="S229" s="835"/>
      <c r="T229" s="835"/>
      <c r="U229" s="835"/>
      <c r="V229" s="835"/>
      <c r="W229" s="835"/>
      <c r="X229" s="835"/>
      <c r="Y229" s="835"/>
      <c r="Z229" s="835"/>
    </row>
    <row r="230" spans="1:2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65000</v>
      </c>
      <c r="M230" s="93"/>
      <c r="N230" s="93">
        <f t="shared" si="107"/>
        <v>0</v>
      </c>
      <c r="O230" s="93"/>
      <c r="P230" s="93"/>
      <c r="Q230" s="835"/>
      <c r="R230" s="835"/>
      <c r="S230" s="835"/>
      <c r="T230" s="835"/>
      <c r="U230" s="835"/>
      <c r="V230" s="835"/>
      <c r="W230" s="835"/>
      <c r="X230" s="835"/>
      <c r="Y230" s="835"/>
      <c r="Z230" s="835"/>
    </row>
    <row r="231" spans="1:2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20000</v>
      </c>
      <c r="M231" s="93"/>
      <c r="N231" s="93">
        <f t="shared" si="107"/>
        <v>0</v>
      </c>
      <c r="O231" s="93"/>
      <c r="P231" s="93"/>
      <c r="Q231" s="835"/>
      <c r="R231" s="835"/>
      <c r="S231" s="835"/>
      <c r="T231" s="835"/>
      <c r="U231" s="835"/>
      <c r="V231" s="835"/>
      <c r="W231" s="835"/>
      <c r="X231" s="835"/>
      <c r="Y231" s="835"/>
      <c r="Z231" s="835"/>
    </row>
    <row r="232" spans="1:2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8">I244+I255</f>
        <v>80</v>
      </c>
      <c r="J233" s="584">
        <f t="shared" si="108"/>
        <v>80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09">I246+I257</f>
        <v>80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09"/>
        <v>2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339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104000</v>
      </c>
      <c r="M238" s="155"/>
      <c r="N238" s="155">
        <f>N239+N240+N241+N242</f>
        <v>43440</v>
      </c>
      <c r="O238" s="155">
        <f ca="1">IF(L238&gt;0,N238*100/L238,0)</f>
        <v>41.769230769230766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IFERROR(__xludf.DUMMYFUNCTION("IMPORTRANGE(""https://docs.google.com/spreadsheets/d/1QqKyyYR6Q21VydFLVH3TRQUabQu_ym0Zz7PgGX0-kHA/edit?usp=sharing"",""แผน!AV19"")"),20000)</f>
        <v>20000</v>
      </c>
      <c r="M239" s="322"/>
      <c r="N239" s="341">
        <v>4120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IFERROR(__xludf.DUMMYFUNCTION("IMPORTRANGE(""https://docs.google.com/spreadsheets/d/1QqKyyYR6Q21VydFLVH3TRQUabQu_ym0Zz7PgGX0-kHA/edit?usp=sharing"",""แผน!AW19"")"),54000)</f>
        <v>54000</v>
      </c>
      <c r="M240" s="322"/>
      <c r="N240" s="341">
        <v>39320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IFERROR(__xludf.DUMMYFUNCTION("IMPORTRANGE(""https://docs.google.com/spreadsheets/d/1QqKyyYR6Q21VydFLVH3TRQUabQu_ym0Zz7PgGX0-kHA/edit?usp=sharing"",""แผน!AX19"")"),20000)</f>
        <v>20000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IFERROR(__xludf.DUMMYFUNCTION("IMPORTRANGE(""https://docs.google.com/spreadsheets/d/1QqKyyYR6Q21VydFLVH3TRQUabQu_ym0Zz7PgGX0-kHA/edit?usp=sharing"",""แผน!AY19"")"),10000)</f>
        <v>10000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IFERROR(__xludf.DUMMYFUNCTION("IMPORTRANGE(""https://docs.google.com/spreadsheets/d/1QqKyyYR6Q21VydFLVH3TRQUabQu_ym0Zz7PgGX0-kHA/edit?usp=sharing"",""แผน!BE19"")"),40)</f>
        <v>40</v>
      </c>
      <c r="J244" s="215">
        <v>40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>
        <v>40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>
        <v>1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340" t="s">
        <v>340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40</v>
      </c>
      <c r="J248" s="272">
        <f t="shared" si="113"/>
        <v>40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277600</v>
      </c>
      <c r="M249" s="155"/>
      <c r="N249" s="155">
        <f>N250+N251+N252+N253</f>
        <v>96910</v>
      </c>
      <c r="O249" s="155">
        <f ca="1">IF(L249&gt;0,N249*100/L249,0)</f>
        <v>34.909942363112393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IFERROR(__xludf.DUMMYFUNCTION("IMPORTRANGE(""https://docs.google.com/spreadsheets/d/1QqKyyYR6Q21VydFLVH3TRQUabQu_ym0Zz7PgGX0-kHA/edit?usp=sharing"",""แผน!AZ19"")"),165000)</f>
        <v>165000</v>
      </c>
      <c r="M250" s="322"/>
      <c r="N250" s="341">
        <v>62540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IFERROR(__xludf.DUMMYFUNCTION("IMPORTRANGE(""https://docs.google.com/spreadsheets/d/1QqKyyYR6Q21VydFLVH3TRQUabQu_ym0Zz7PgGX0-kHA/edit?usp=sharing"",""แผน!BA19"")"),57600)</f>
        <v>57600</v>
      </c>
      <c r="M251" s="322"/>
      <c r="N251" s="341">
        <v>34370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IFERROR(__xludf.DUMMYFUNCTION("IMPORTRANGE(""https://docs.google.com/spreadsheets/d/1QqKyyYR6Q21VydFLVH3TRQUabQu_ym0Zz7PgGX0-kHA/edit?usp=sharing"",""แผน!BB19"")"),45000)</f>
        <v>45000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IFERROR(__xludf.DUMMYFUNCTION("IMPORTRANGE(""https://docs.google.com/spreadsheets/d/1QqKyyYR6Q21VydFLVH3TRQUabQu_ym0Zz7PgGX0-kHA/edit?usp=sharing"",""แผน!BC19"")"),10000)</f>
        <v>10000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IFERROR(__xludf.DUMMYFUNCTION("IMPORTRANGE(""https://docs.google.com/spreadsheets/d/1QqKyyYR6Q21VydFLVH3TRQUabQu_ym0Zz7PgGX0-kHA/edit?usp=sharing"",""แผน!BF19"")"),40)</f>
        <v>40</v>
      </c>
      <c r="J255" s="215">
        <v>40</v>
      </c>
      <c r="K255" s="466">
        <f ca="1">IF(I255&gt;0,J255*100/I255,0)</f>
        <v>100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>
        <v>40</v>
      </c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>
        <v>1</v>
      </c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20844</v>
      </c>
      <c r="O261" s="155">
        <f t="shared" ref="O261:O269" ca="1" si="117">IF(L261&gt;0,N261*100/L261,0)</f>
        <v>77.486988847583646</v>
      </c>
      <c r="P261" s="155">
        <f t="shared" ref="P261:P269" ca="1" si="118">IF(M261&gt;0,N261*100/M261,0)</f>
        <v>87.213389121338906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20844</v>
      </c>
      <c r="O263" s="93">
        <f t="shared" ca="1" si="117"/>
        <v>77.486988847583646</v>
      </c>
      <c r="P263" s="93">
        <f t="shared" ca="1" si="118"/>
        <v>87.213389121338906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20844</v>
      </c>
      <c r="O264" s="466">
        <f t="shared" ca="1" si="117"/>
        <v>77.486988847583646</v>
      </c>
      <c r="P264" s="466">
        <f t="shared" ca="1" si="118"/>
        <v>87.213389121338906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IFERROR(__xludf.DUMMYFUNCTION("IMPORTRANGE(""https://docs.google.com/spreadsheets/d/1MeEWN-I1oV_STSDYn1IFDPWt_1FKiwhDph83XaGc0o0/edit?usp=sharing"",""งบพรบ!CY19"")"),26900)</f>
        <v>26900</v>
      </c>
      <c r="M266" s="93">
        <f ca="1">IFERROR(__xludf.DUMMYFUNCTION("IMPORTRANGE(""https://docs.google.com/spreadsheets/d/1MeEWN-I1oV_STSDYn1IFDPWt_1FKiwhDph83XaGc0o0/edit?usp=sharing"",""งบพรบ!DD19"")"),23900)</f>
        <v>23900</v>
      </c>
      <c r="N266" s="93">
        <f ca="1">IFERROR(__xludf.DUMMYFUNCTION("IMPORTRANGE(""https://docs.google.com/spreadsheets/d/1MeEWN-I1oV_STSDYn1IFDPWt_1FKiwhDph83XaGc0o0/edit?usp=sharing"",""งบพรบ!DF19"")"),20844)</f>
        <v>20844</v>
      </c>
      <c r="O266" s="93">
        <f t="shared" ca="1" si="117"/>
        <v>77.486988847583646</v>
      </c>
      <c r="P266" s="93">
        <f t="shared" ca="1" si="118"/>
        <v>87.213389121338906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IFERROR(__xludf.DUMMYFUNCTION("IMPORTRANGE(""https://docs.google.com/spreadsheets/d/1MeEWN-I1oV_STSDYn1IFDPWt_1FKiwhDph83XaGc0o0/edit?usp=sharing"",""งบพรบ!DB19"")"),0)</f>
        <v>0</v>
      </c>
      <c r="M269" s="93">
        <f ca="1">IFERROR(__xludf.DUMMYFUNCTION("IMPORTRANGE(""https://docs.google.com/spreadsheets/d/1MeEWN-I1oV_STSDYn1IFDPWt_1FKiwhDph83XaGc0o0/edit?usp=sharing"",""งบพรบ!DE19"")"),0)</f>
        <v>0</v>
      </c>
      <c r="N269" s="93">
        <f ca="1">IFERROR(__xludf.DUMMYFUNCTION("IMPORTRANGE(""https://docs.google.com/spreadsheets/d/1MeEWN-I1oV_STSDYn1IFDPWt_1FKiwhDph83XaGc0o0/edit?usp=sharing"",""งบพรบ!DG19"")"),0)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</v>
      </c>
      <c r="J276" s="375">
        <f t="shared" si="124"/>
        <v>50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4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24630</v>
      </c>
      <c r="M277" s="155">
        <f t="shared" ca="1" si="125"/>
        <v>15100</v>
      </c>
      <c r="N277" s="155">
        <f t="shared" ca="1" si="125"/>
        <v>8020</v>
      </c>
      <c r="O277" s="155">
        <f t="shared" ref="O277:O285" ca="1" si="126">IF(L277&gt;0,N277*100/L277,0)</f>
        <v>32.56191636215997</v>
      </c>
      <c r="P277" s="155">
        <f t="shared" ref="P277:P285" ca="1" si="127">IF(M277&gt;0,N277*100/M277,0)</f>
        <v>53.11258278145695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24630</v>
      </c>
      <c r="M279" s="93">
        <f t="shared" ca="1" si="128"/>
        <v>15100</v>
      </c>
      <c r="N279" s="93">
        <f t="shared" ca="1" si="128"/>
        <v>8020</v>
      </c>
      <c r="O279" s="93">
        <f t="shared" ca="1" si="126"/>
        <v>32.56191636215997</v>
      </c>
      <c r="P279" s="93">
        <f t="shared" ca="1" si="127"/>
        <v>53.11258278145695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29">L281+L282</f>
        <v>24630</v>
      </c>
      <c r="M280" s="466">
        <f t="shared" ca="1" si="129"/>
        <v>15100</v>
      </c>
      <c r="N280" s="466">
        <f t="shared" ca="1" si="129"/>
        <v>8020</v>
      </c>
      <c r="O280" s="466">
        <f t="shared" ca="1" si="126"/>
        <v>32.56191636215997</v>
      </c>
      <c r="P280" s="466">
        <f t="shared" ca="1" si="127"/>
        <v>53.11258278145695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IFERROR(__xludf.DUMMYFUNCTION("IMPORTRANGE(""https://docs.google.com/spreadsheets/d/1MeEWN-I1oV_STSDYn1IFDPWt_1FKiwhDph83XaGc0o0/edit?usp=sharing"",""งบพรบ!DI19"")"),24630)</f>
        <v>24630</v>
      </c>
      <c r="M282" s="93">
        <f ca="1">IFERROR(__xludf.DUMMYFUNCTION("IMPORTRANGE(""https://docs.google.com/spreadsheets/d/1MeEWN-I1oV_STSDYn1IFDPWt_1FKiwhDph83XaGc0o0/edit?usp=sharing"",""งบพรบ!DN19"")"),15100)</f>
        <v>15100</v>
      </c>
      <c r="N282" s="93">
        <f ca="1">IFERROR(__xludf.DUMMYFUNCTION("IMPORTRANGE(""https://docs.google.com/spreadsheets/d/1MeEWN-I1oV_STSDYn1IFDPWt_1FKiwhDph83XaGc0o0/edit?usp=sharing"",""งบพรบ!DP19"")"),8020)</f>
        <v>8020</v>
      </c>
      <c r="O282" s="93">
        <f t="shared" ca="1" si="126"/>
        <v>32.56191636215997</v>
      </c>
      <c r="P282" s="93">
        <f t="shared" ca="1" si="127"/>
        <v>53.11258278145695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IFERROR(__xludf.DUMMYFUNCTION("IMPORTRANGE(""https://docs.google.com/spreadsheets/d/1MeEWN-I1oV_STSDYn1IFDPWt_1FKiwhDph83XaGc0o0/edit?usp=sharing"",""งบพรบ!DL19"")"),0)</f>
        <v>0</v>
      </c>
      <c r="M285" s="93">
        <f ca="1">IFERROR(__xludf.DUMMYFUNCTION("IMPORTRANGE(""https://docs.google.com/spreadsheets/d/1MeEWN-I1oV_STSDYn1IFDPWt_1FKiwhDph83XaGc0o0/edit?usp=sharing"",""งบพรบ!DO19"")"),0)</f>
        <v>0</v>
      </c>
      <c r="N285" s="93">
        <f ca="1">IFERROR(__xludf.DUMMYFUNCTION("IMPORTRANGE(""https://docs.google.com/spreadsheets/d/1MeEWN-I1oV_STSDYn1IFDPWt_1FKiwhDph83XaGc0o0/edit?usp=sharing"",""งบพรบ!DQ19"")"),0)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IFERROR(__xludf.DUMMYFUNCTION("IMPORTRANGE(""https://docs.google.com/spreadsheets/d/1QqKyyYR6Q21VydFLVH3TRQUabQu_ym0Zz7PgGX0-kHA/edit?usp=sharing"",""แผน!EC19"")"),50)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IFERROR(__xludf.DUMMYFUNCTION("IMPORTRANGE(""https://docs.google.com/spreadsheets/d/1QqKyyYR6Q21VydFLVH3TRQUabQu_ym0Zz7PgGX0-kHA/edit?usp=sharing"",""แผน!EB19"")"),5)</f>
        <v>5</v>
      </c>
      <c r="J288" s="648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IFERROR(__xludf.DUMMYFUNCTION("IMPORTRANGE(""https://docs.google.com/spreadsheets/d/1QqKyyYR6Q21VydFLVH3TRQUabQu_ym0Zz7PgGX0-kHA/edit?usp=sharing"",""แผน!EB19"")"),5)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IFERROR(__xludf.DUMMYFUNCTION("IMPORTRANGE(""https://docs.google.com/spreadsheets/d/1QqKyyYR6Q21VydFLVH3TRQUabQu_ym0Zz7PgGX0-kHA/edit?usp=sharing"",""แผน!EB19"")"),5)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IFERROR(__xludf.DUMMYFUNCTION("IMPORTRANGE(""https://docs.google.com/spreadsheets/d/1QqKyyYR6Q21VydFLVH3TRQUabQu_ym0Zz7PgGX0-kHA/edit?usp=sharing"",""แผน!EB19"")"),5)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1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IFERROR(__xludf.DUMMYFUNCTION("IMPORTRANGE(""https://docs.google.com/spreadsheets/d/1QqKyyYR6Q21VydFLVH3TRQUabQu_ym0Zz7PgGX0-kHA/edit?usp=sharing"",""แผน!EB19"")"),5)</f>
        <v>5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4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IFERROR(__xludf.DUMMYFUNCTION("IMPORTRANGE(""https://docs.google.com/spreadsheets/d/1MeEWN-I1oV_STSDYn1IFDPWt_1FKiwhDph83XaGc0o0/edit?usp=sharing"",""งบพรบ!DS19"")"),0)</f>
        <v>0</v>
      </c>
      <c r="M303" s="93">
        <f ca="1">IFERROR(__xludf.DUMMYFUNCTION("IMPORTRANGE(""https://docs.google.com/spreadsheets/d/1MeEWN-I1oV_STSDYn1IFDPWt_1FKiwhDph83XaGc0o0/edit?usp=sharing"",""งบพรบ!DX19"")"),0)</f>
        <v>0</v>
      </c>
      <c r="N303" s="93">
        <f ca="1">IFERROR(__xludf.DUMMYFUNCTION("IMPORTRANGE(""https://docs.google.com/spreadsheets/d/1MeEWN-I1oV_STSDYn1IFDPWt_1FKiwhDph83XaGc0o0/edit?usp=sharing"",""งบพรบ!DZ19"")"),0)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IFERROR(__xludf.DUMMYFUNCTION("IMPORTRANGE(""https://docs.google.com/spreadsheets/d/1MeEWN-I1oV_STSDYn1IFDPWt_1FKiwhDph83XaGc0o0/edit?usp=sharing"",""งบพรบ!DV19"")"),0)</f>
        <v>0</v>
      </c>
      <c r="M306" s="93">
        <f ca="1">IFERROR(__xludf.DUMMYFUNCTION("IMPORTRANGE(""https://docs.google.com/spreadsheets/d/1MeEWN-I1oV_STSDYn1IFDPWt_1FKiwhDph83XaGc0o0/edit?usp=sharing"",""งบพรบ!DY19"")"),0)</f>
        <v>0</v>
      </c>
      <c r="N306" s="93">
        <f ca="1">IFERROR(__xludf.DUMMYFUNCTION("IMPORTRANGE(""https://docs.google.com/spreadsheets/d/1MeEWN-I1oV_STSDYn1IFDPWt_1FKiwhDph83XaGc0o0/edit?usp=sharing"",""งบพรบ!EA19"")"),0)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IFERROR(__xludf.DUMMYFUNCTION("IMPORTRANGE(""https://docs.google.com/spreadsheets/d/1QqKyyYR6Q21VydFLVH3TRQUabQu_ym0Zz7PgGX0-kHA/edit?usp=sharing"",""แผน!ED19"")"),0)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IFERROR(__xludf.DUMMYFUNCTION("IMPORTRANGE(""https://docs.google.com/spreadsheets/d/1QqKyyYR6Q21VydFLVH3TRQUabQu_ym0Zz7PgGX0-kHA/edit?usp=sharing"",""แผน!ED19"")"),0)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IFERROR(__xludf.DUMMYFUNCTION("IMPORTRANGE(""https://docs.google.com/spreadsheets/d/1QqKyyYR6Q21VydFLVH3TRQUabQu_ym0Zz7PgGX0-kHA/edit?usp=sharing"",""แผน!ED19"")"),0)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IFERROR(__xludf.DUMMYFUNCTION("IMPORTRANGE(""https://docs.google.com/spreadsheets/d/1QqKyyYR6Q21VydFLVH3TRQUabQu_ym0Zz7PgGX0-kHA/edit?usp=sharing"",""แผน!EE19"")"),0)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4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IFERROR(__xludf.DUMMYFUNCTION("IMPORTRANGE(""https://docs.google.com/spreadsheets/d/1MeEWN-I1oV_STSDYn1IFDPWt_1FKiwhDph83XaGc0o0/edit?usp=sharing"",""งบพรบ!EC19"")"),0)</f>
        <v>0</v>
      </c>
      <c r="M320" s="93">
        <f ca="1">IFERROR(__xludf.DUMMYFUNCTION("IMPORTRANGE(""https://docs.google.com/spreadsheets/d/1MeEWN-I1oV_STSDYn1IFDPWt_1FKiwhDph83XaGc0o0/edit?usp=sharing"",""งบพรบ!EH19"")"),0)</f>
        <v>0</v>
      </c>
      <c r="N320" s="93">
        <f ca="1">IFERROR(__xludf.DUMMYFUNCTION("IMPORTRANGE(""https://docs.google.com/spreadsheets/d/1MeEWN-I1oV_STSDYn1IFDPWt_1FKiwhDph83XaGc0o0/edit?usp=sharing"",""งบพรบ!EJ19"")"),0)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IFERROR(__xludf.DUMMYFUNCTION("IMPORTRANGE(""https://docs.google.com/spreadsheets/d/1MeEWN-I1oV_STSDYn1IFDPWt_1FKiwhDph83XaGc0o0/edit?usp=sharing"",""งบพรบ!EF19"")"),0)</f>
        <v>0</v>
      </c>
      <c r="M323" s="93">
        <f ca="1">IFERROR(__xludf.DUMMYFUNCTION("IMPORTRANGE(""https://docs.google.com/spreadsheets/d/1MeEWN-I1oV_STSDYn1IFDPWt_1FKiwhDph83XaGc0o0/edit?usp=sharing"",""งบพรบ!EI19"")"),0)</f>
        <v>0</v>
      </c>
      <c r="N323" s="93">
        <f ca="1">IFERROR(__xludf.DUMMYFUNCTION("IMPORTRANGE(""https://docs.google.com/spreadsheets/d/1MeEWN-I1oV_STSDYn1IFDPWt_1FKiwhDph83XaGc0o0/edit?usp=sharing"",""งบพรบ!EK19"")"),0)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IFERROR(__xludf.DUMMYFUNCTION("IMPORTRANGE(""https://docs.google.com/spreadsheets/d/1QqKyyYR6Q21VydFLVH3TRQUabQu_ym0Zz7PgGX0-kHA/edit?usp=sharing"",""แผน!EF19"")"),0)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IFERROR(__xludf.DUMMYFUNCTION("IMPORTRANGE(""https://docs.google.com/spreadsheets/d/1QqKyyYR6Q21VydFLVH3TRQUabQu_ym0Zz7PgGX0-kHA/edit?usp=sharing"",""แผน!EG19"")"),1600)</f>
        <v>1600</v>
      </c>
      <c r="J327" s="413">
        <f ca="1">J338+J341+J342+J343</f>
        <v>1021</v>
      </c>
      <c r="K327" s="414">
        <f ca="1">IF(I327&gt;0,J327*100/I327,0)</f>
        <v>63.8125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4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172000</v>
      </c>
      <c r="M328" s="155">
        <f t="shared" ca="1" si="149"/>
        <v>129000</v>
      </c>
      <c r="N328" s="155">
        <f t="shared" ca="1" si="149"/>
        <v>51040</v>
      </c>
      <c r="O328" s="155">
        <f t="shared" ref="O328:O336" ca="1" si="150">IF(L328&gt;0,N328*100/L328,0)</f>
        <v>29.674418604651162</v>
      </c>
      <c r="P328" s="155">
        <f t="shared" ref="P328:P336" ca="1" si="151">IF(M328&gt;0,N328*100/M328,0)</f>
        <v>39.565891472868216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172000</v>
      </c>
      <c r="M330" s="93">
        <f t="shared" ca="1" si="152"/>
        <v>129000</v>
      </c>
      <c r="N330" s="93">
        <f t="shared" ca="1" si="152"/>
        <v>51040</v>
      </c>
      <c r="O330" s="93">
        <f t="shared" ca="1" si="150"/>
        <v>29.674418604651162</v>
      </c>
      <c r="P330" s="93">
        <f t="shared" ca="1" si="151"/>
        <v>39.565891472868216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3">L332+L333</f>
        <v>172000</v>
      </c>
      <c r="M331" s="466">
        <f t="shared" ca="1" si="153"/>
        <v>129000</v>
      </c>
      <c r="N331" s="466">
        <f t="shared" ca="1" si="153"/>
        <v>51040</v>
      </c>
      <c r="O331" s="466">
        <f t="shared" ca="1" si="150"/>
        <v>29.674418604651162</v>
      </c>
      <c r="P331" s="466">
        <f t="shared" ca="1" si="151"/>
        <v>39.565891472868216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IFERROR(__xludf.DUMMYFUNCTION("IMPORTRANGE(""https://docs.google.com/spreadsheets/d/1MeEWN-I1oV_STSDYn1IFDPWt_1FKiwhDph83XaGc0o0/edit?usp=sharing"",""งบพรบ!EM19"")"),172000)</f>
        <v>172000</v>
      </c>
      <c r="M333" s="93">
        <f ca="1">IFERROR(__xludf.DUMMYFUNCTION("IMPORTRANGE(""https://docs.google.com/spreadsheets/d/1MeEWN-I1oV_STSDYn1IFDPWt_1FKiwhDph83XaGc0o0/edit?usp=sharing"",""งบพรบ!ER19"")"),129000)</f>
        <v>129000</v>
      </c>
      <c r="N333" s="93">
        <f ca="1">IFERROR(__xludf.DUMMYFUNCTION("IMPORTRANGE(""https://docs.google.com/spreadsheets/d/1MeEWN-I1oV_STSDYn1IFDPWt_1FKiwhDph83XaGc0o0/edit?usp=sharing"",""งบพรบ!ET19"")"),51040)</f>
        <v>51040</v>
      </c>
      <c r="O333" s="93">
        <f t="shared" ca="1" si="150"/>
        <v>29.674418604651162</v>
      </c>
      <c r="P333" s="93">
        <f t="shared" ca="1" si="151"/>
        <v>39.565891472868216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IFERROR(__xludf.DUMMYFUNCTION("IMPORTRANGE(""https://docs.google.com/spreadsheets/d/1MeEWN-I1oV_STSDYn1IFDPWt_1FKiwhDph83XaGc0o0/edit?usp=sharing"",""งบพรบ!EP19"")"),0)</f>
        <v>0</v>
      </c>
      <c r="M336" s="93">
        <f ca="1">IFERROR(__xludf.DUMMYFUNCTION("IMPORTRANGE(""https://docs.google.com/spreadsheets/d/1MeEWN-I1oV_STSDYn1IFDPWt_1FKiwhDph83XaGc0o0/edit?usp=sharing"",""งบพรบ!ES19"")"),0)</f>
        <v>0</v>
      </c>
      <c r="N336" s="93">
        <f ca="1">IFERROR(__xludf.DUMMYFUNCTION("IMPORTRANGE(""https://docs.google.com/spreadsheets/d/1MeEWN-I1oV_STSDYn1IFDPWt_1FKiwhDph83XaGc0o0/edit?usp=sharing"",""งบพรบ!EU19"")"),0)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IFERROR(__xludf.DUMMYFUNCTION("IMPORTRANGE(""https://docs.google.com/spreadsheets/d/1QqKyyYR6Q21VydFLVH3TRQUabQu_ym0Zz7PgGX0-kHA/edit?usp=sharing"",""แผน!EG19"")"),1600)</f>
        <v>1600</v>
      </c>
      <c r="J338" s="270">
        <f ca="1">IFERROR(__xludf.DUMMYFUNCTION("IMPORTRANGE(""https://docs.google.com/spreadsheets/d/1kVcqe37tkHyjCSG3S0O1AXqVkqjo8mSIZil3BcpIysc/edit?usp=sharing"",""ศูนย์!D19"")"),823)</f>
        <v>823</v>
      </c>
      <c r="K338" s="466">
        <f ca="1">IF(I338&gt;0,J338*100/I338,0)</f>
        <v>51.4375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IFERROR(__xludf.DUMMYFUNCTION("IMPORTRANGE(""https://docs.google.com/spreadsheets/d/1QqKyyYR6Q21VydFLVH3TRQUabQu_ym0Zz7PgGX0-kHA/edit?usp=sharing"",""แผน!EH19"")"),7)</f>
        <v>7</v>
      </c>
      <c r="J340" s="270">
        <f ca="1">IFERROR(__xludf.DUMMYFUNCTION("IMPORTRANGE(""https://docs.google.com/spreadsheets/d/1kVcqe37tkHyjCSG3S0O1AXqVkqjo8mSIZil3BcpIysc/edit?usp=sharing"",""ศูนย์!E19"")"),3)</f>
        <v>3</v>
      </c>
      <c r="K340" s="466">
        <f ca="1">IF(I340&gt;0,J340*100/I340,0)</f>
        <v>42.857142857142854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IFERROR(__xludf.DUMMYFUNCTION("IMPORTRANGE(""https://docs.google.com/spreadsheets/d/1kVcqe37tkHyjCSG3S0O1AXqVkqjo8mSIZil3BcpIysc/edit?usp=sharing"",""ศูนย์!F19"")"),192)</f>
        <v>192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IFERROR(__xludf.DUMMYFUNCTION("IMPORTRANGE(""https://docs.google.com/spreadsheets/d/1kVcqe37tkHyjCSG3S0O1AXqVkqjo8mSIZil3BcpIysc/edit?usp=sharing"",""ศูนย์!G19"")"),6)</f>
        <v>6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IFERROR(__xludf.DUMMYFUNCTION("IMPORTRANGE(""https://docs.google.com/spreadsheets/d/1kVcqe37tkHyjCSG3S0O1AXqVkqjo8mSIZil3BcpIysc/edit?usp=sharing"",""ศูนย์!H19"")"),0)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4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637150</v>
      </c>
      <c r="M345" s="155">
        <f t="shared" ca="1" si="155"/>
        <v>455270</v>
      </c>
      <c r="N345" s="155">
        <f t="shared" ca="1" si="155"/>
        <v>295000</v>
      </c>
      <c r="O345" s="155">
        <f t="shared" ref="O345:O353" ca="1" si="156">IF(L345&gt;0,N345*100/L345,0)</f>
        <v>46.299929372989091</v>
      </c>
      <c r="P345" s="155">
        <f t="shared" ref="P345:P353" ca="1" si="157">IF(M345&gt;0,N345*100/M345,0)</f>
        <v>64.796714037823705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637150</v>
      </c>
      <c r="M347" s="93">
        <f t="shared" ca="1" si="158"/>
        <v>455270</v>
      </c>
      <c r="N347" s="93">
        <f t="shared" ca="1" si="158"/>
        <v>295000</v>
      </c>
      <c r="O347" s="93">
        <f t="shared" ca="1" si="156"/>
        <v>46.299929372989091</v>
      </c>
      <c r="P347" s="93">
        <f t="shared" ca="1" si="157"/>
        <v>64.796714037823705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59">L349+L350</f>
        <v>515550</v>
      </c>
      <c r="M348" s="466">
        <f t="shared" ca="1" si="159"/>
        <v>333670</v>
      </c>
      <c r="N348" s="466">
        <f t="shared" ca="1" si="159"/>
        <v>173400</v>
      </c>
      <c r="O348" s="466">
        <f t="shared" ca="1" si="156"/>
        <v>33.633983124818158</v>
      </c>
      <c r="P348" s="466">
        <f t="shared" ca="1" si="157"/>
        <v>51.967512812059823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IFERROR(__xludf.DUMMYFUNCTION("IMPORTRANGE(""https://docs.google.com/spreadsheets/d/1MeEWN-I1oV_STSDYn1IFDPWt_1FKiwhDph83XaGc0o0/edit?usp=sharing"",""งบพรบ!EW19"")"),515550)</f>
        <v>515550</v>
      </c>
      <c r="M350" s="93">
        <f ca="1">IFERROR(__xludf.DUMMYFUNCTION("IMPORTRANGE(""https://docs.google.com/spreadsheets/d/1MeEWN-I1oV_STSDYn1IFDPWt_1FKiwhDph83XaGc0o0/edit?usp=sharing"",""งบพรบ!FB19"")"),333670)</f>
        <v>333670</v>
      </c>
      <c r="N350" s="93">
        <f ca="1">IFERROR(__xludf.DUMMYFUNCTION("IMPORTRANGE(""https://docs.google.com/spreadsheets/d/1MeEWN-I1oV_STSDYn1IFDPWt_1FKiwhDph83XaGc0o0/edit?usp=sharing"",""งบพรบ!FD19"")"),173400)</f>
        <v>173400</v>
      </c>
      <c r="O350" s="93">
        <f t="shared" ca="1" si="156"/>
        <v>33.633983124818158</v>
      </c>
      <c r="P350" s="93">
        <f t="shared" ca="1" si="157"/>
        <v>51.967512812059823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121600</v>
      </c>
      <c r="M351" s="466">
        <f t="shared" ca="1" si="160"/>
        <v>121600</v>
      </c>
      <c r="N351" s="466">
        <f t="shared" ca="1" si="160"/>
        <v>121600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IFERROR(__xludf.DUMMYFUNCTION("IMPORTRANGE(""https://docs.google.com/spreadsheets/d/1MeEWN-I1oV_STSDYn1IFDPWt_1FKiwhDph83XaGc0o0/edit?usp=sharing"",""งบพรบ!EZ19"")"),121600)</f>
        <v>121600</v>
      </c>
      <c r="M353" s="93">
        <f ca="1">IFERROR(__xludf.DUMMYFUNCTION("IMPORTRANGE(""https://docs.google.com/spreadsheets/d/1MeEWN-I1oV_STSDYn1IFDPWt_1FKiwhDph83XaGc0o0/edit?usp=sharing"",""งบพรบ!FC19"")"),121600)</f>
        <v>121600</v>
      </c>
      <c r="N353" s="93">
        <f ca="1">IFERROR(__xludf.DUMMYFUNCTION("IMPORTRANGE(""https://docs.google.com/spreadsheets/d/1MeEWN-I1oV_STSDYn1IFDPWt_1FKiwhDph83XaGc0o0/edit?usp=sharing"",""งบพรบ!FE19"")"),121600)</f>
        <v>121600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IFERROR(__xludf.DUMMYFUNCTION("IMPORTRANGE(""https://docs.google.com/spreadsheets/d/1QqKyyYR6Q21VydFLVH3TRQUabQu_ym0Zz7PgGX0-kHA/edit?usp=sharing"",""แผน!EP19"")"),200)</f>
        <v>200</v>
      </c>
      <c r="J355" s="433">
        <f ca="1">J362</f>
        <v>97</v>
      </c>
      <c r="K355" s="434">
        <f ca="1">IF(I355&gt;0,J355*100/I355,0)</f>
        <v>48.5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IFERROR(__xludf.DUMMYFUNCTION("IMPORTRANGE(""https://docs.google.com/spreadsheets/d/1XWAQStnk-4SwqDmLtmXYiTMKHgktTP8We1SCoS47DrQ/edit?usp=sharing"",""จัดที่ดิน!W19"")"),121)</f>
        <v>121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IFERROR(__xludf.DUMMYFUNCTION("IMPORTRANGE(""https://docs.google.com/spreadsheets/d/1QqKyyYR6Q21VydFLVH3TRQUabQu_ym0Zz7PgGX0-kHA/edit?usp=sharing"",""แผน!EO19"")"),1600)</f>
        <v>1600</v>
      </c>
      <c r="J359" s="270">
        <f ca="1">IFERROR(__xludf.DUMMYFUNCTION("IMPORTRANGE(""https://docs.google.com/spreadsheets/d/1XWAQStnk-4SwqDmLtmXYiTMKHgktTP8We1SCoS47DrQ/edit?usp=sharing"",""จัดที่ดิน!X19"")"),542.1)</f>
        <v>542.1</v>
      </c>
      <c r="K359" s="466">
        <f t="shared" ca="1" si="161"/>
        <v>33.881250000000001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IFERROR(__xludf.DUMMYFUNCTION("IMPORTRANGE(""https://docs.google.com/spreadsheets/d/1QqKyyYR6Q21VydFLVH3TRQUabQu_ym0Zz7PgGX0-kHA/edit?usp=sharing"",""แผน!EP19"")"),200)</f>
        <v>200</v>
      </c>
      <c r="J360" s="270">
        <f ca="1">IFERROR(__xludf.DUMMYFUNCTION("IMPORTRANGE(""https://docs.google.com/spreadsheets/d/1XWAQStnk-4SwqDmLtmXYiTMKHgktTP8We1SCoS47DrQ/edit?usp=sharing"",""จัดที่ดิน!Y19"")"),108)</f>
        <v>108</v>
      </c>
      <c r="K360" s="466">
        <f t="shared" ca="1" si="161"/>
        <v>54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IFERROR(__xludf.DUMMYFUNCTION("IMPORTRANGE(""https://docs.google.com/spreadsheets/d/1XWAQStnk-4SwqDmLtmXYiTMKHgktTP8We1SCoS47DrQ/edit?usp=sharing"",""จัดที่ดิน!Z19"")"),506.1)</f>
        <v>506.1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IFERROR(__xludf.DUMMYFUNCTION("IMPORTRANGE(""https://docs.google.com/spreadsheets/d/1QqKyyYR6Q21VydFLVH3TRQUabQu_ym0Zz7PgGX0-kHA/edit?usp=sharing"",""แผน!EP19"")"),200)</f>
        <v>200</v>
      </c>
      <c r="J362" s="270">
        <f ca="1">IFERROR(__xludf.DUMMYFUNCTION("IMPORTRANGE(""https://docs.google.com/spreadsheets/d/1XWAQStnk-4SwqDmLtmXYiTMKHgktTP8We1SCoS47DrQ/edit?usp=sharing"",""จัดที่ดิน!AA19"")"),97)</f>
        <v>97</v>
      </c>
      <c r="K362" s="466">
        <f t="shared" ca="1" si="161"/>
        <v>48.5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IFERROR(__xludf.DUMMYFUNCTION("IMPORTRANGE(""https://docs.google.com/spreadsheets/d/1XWAQStnk-4SwqDmLtmXYiTMKHgktTP8We1SCoS47DrQ/edit?usp=sharing"",""จัดที่ดิน!AB19"")"),453.19)</f>
        <v>453.19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500</v>
      </c>
      <c r="J364" s="447">
        <f t="shared" ca="1" si="162"/>
        <v>106</v>
      </c>
      <c r="K364" s="448">
        <f t="shared" ca="1" si="161"/>
        <v>21.2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IFERROR(__xludf.DUMMYFUNCTION("IMPORTRANGE(""https://docs.google.com/spreadsheets/d/1QqKyyYR6Q21VydFLVH3TRQUabQu_ym0Zz7PgGX0-kHA/edit?usp=sharing"",""แผน!EJ19"")"),60)</f>
        <v>60</v>
      </c>
      <c r="J365" s="459">
        <f ca="1">J372</f>
        <v>6</v>
      </c>
      <c r="K365" s="460">
        <f t="shared" ca="1" si="161"/>
        <v>10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IFERROR(__xludf.DUMMYFUNCTION("IMPORTRANGE(""https://docs.google.com/spreadsheets/d/1XWAQStnk-4SwqDmLtmXYiTMKHgktTP8We1SCoS47DrQ/edit?usp=sharing"",""จัดที่ดิน!E19"")"),30)</f>
        <v>30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IFERROR(__xludf.DUMMYFUNCTION("IMPORTRANGE(""https://docs.google.com/spreadsheets/d/1QqKyyYR6Q21VydFLVH3TRQUabQu_ym0Zz7PgGX0-kHA/edit?usp=sharing"",""แผน!EI19"")"),600)</f>
        <v>600</v>
      </c>
      <c r="J369" s="270">
        <f ca="1">IFERROR(__xludf.DUMMYFUNCTION("IMPORTRANGE(""https://docs.google.com/spreadsheets/d/1XWAQStnk-4SwqDmLtmXYiTMKHgktTP8We1SCoS47DrQ/edit?usp=sharing"",""จัดที่ดิน!F19"")"),128.73)</f>
        <v>128.72999999999999</v>
      </c>
      <c r="K369" s="466">
        <f t="shared" ca="1" si="163"/>
        <v>21.454999999999998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IFERROR(__xludf.DUMMYFUNCTION("IMPORTRANGE(""https://docs.google.com/spreadsheets/d/1QqKyyYR6Q21VydFLVH3TRQUabQu_ym0Zz7PgGX0-kHA/edit?usp=sharing"",""แผน!EJ19"")"),60)</f>
        <v>60</v>
      </c>
      <c r="J370" s="270">
        <f ca="1">IFERROR(__xludf.DUMMYFUNCTION("IMPORTRANGE(""https://docs.google.com/spreadsheets/d/1XWAQStnk-4SwqDmLtmXYiTMKHgktTP8We1SCoS47DrQ/edit?usp=sharing"",""จัดที่ดิน!G19"")"),17)</f>
        <v>17</v>
      </c>
      <c r="K370" s="466">
        <f t="shared" ca="1" si="163"/>
        <v>28.333333333333332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IFERROR(__xludf.DUMMYFUNCTION("IMPORTRANGE(""https://docs.google.com/spreadsheets/d/1XWAQStnk-4SwqDmLtmXYiTMKHgktTP8We1SCoS47DrQ/edit?usp=sharing"",""จัดที่ดิน!H19"")"),92.73)</f>
        <v>92.73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IFERROR(__xludf.DUMMYFUNCTION("IMPORTRANGE(""https://docs.google.com/spreadsheets/d/1QqKyyYR6Q21VydFLVH3TRQUabQu_ym0Zz7PgGX0-kHA/edit?usp=sharing"",""แผน!EJ19"")"),60)</f>
        <v>60</v>
      </c>
      <c r="J372" s="270">
        <f ca="1">IFERROR(__xludf.DUMMYFUNCTION("IMPORTRANGE(""https://docs.google.com/spreadsheets/d/1XWAQStnk-4SwqDmLtmXYiTMKHgktTP8We1SCoS47DrQ/edit?usp=sharing"",""จัดที่ดิน!I19"")"),6)</f>
        <v>6</v>
      </c>
      <c r="K372" s="466">
        <f t="shared" ca="1" si="163"/>
        <v>10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IFERROR(__xludf.DUMMYFUNCTION("IMPORTRANGE(""https://docs.google.com/spreadsheets/d/1XWAQStnk-4SwqDmLtmXYiTMKHgktTP8We1SCoS47DrQ/edit?usp=sharing"",""จัดที่ดิน!J19"")"),39.82)</f>
        <v>39.82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IFERROR(__xludf.DUMMYFUNCTION("IMPORTRANGE(""https://docs.google.com/spreadsheets/d/1QqKyyYR6Q21VydFLVH3TRQUabQu_ym0Zz7PgGX0-kHA/edit?usp=sharing"",""แผน!EU19"")"),440)</f>
        <v>440</v>
      </c>
      <c r="J374" s="459">
        <f ca="1">J381</f>
        <v>100</v>
      </c>
      <c r="K374" s="460">
        <f t="shared" ca="1" si="163"/>
        <v>22.727272727272727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IFERROR(__xludf.DUMMYFUNCTION("IMPORTRANGE(""https://docs.google.com/spreadsheets/d/1XWAQStnk-4SwqDmLtmXYiTMKHgktTP8We1SCoS47DrQ/edit?usp=sharing"",""จัดที่ดิน!AH19"")"),91)</f>
        <v>91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IFERROR(__xludf.DUMMYFUNCTION("IMPORTRANGE(""https://docs.google.com/spreadsheets/d/1QqKyyYR6Q21VydFLVH3TRQUabQu_ym0Zz7PgGX0-kHA/edit?usp=sharing"",""แผน!ET19"")"),1000)</f>
        <v>1000</v>
      </c>
      <c r="J378" s="270">
        <f ca="1">IFERROR(__xludf.DUMMYFUNCTION("IMPORTRANGE(""https://docs.google.com/spreadsheets/d/1XWAQStnk-4SwqDmLtmXYiTMKHgktTP8We1SCoS47DrQ/edit?usp=sharing"",""จัดที่ดิน!AI19"")"),413.37)</f>
        <v>413.37</v>
      </c>
      <c r="K378" s="466">
        <f t="shared" ca="1" si="164"/>
        <v>41.337000000000003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IFERROR(__xludf.DUMMYFUNCTION("IMPORTRANGE(""https://docs.google.com/spreadsheets/d/1QqKyyYR6Q21VydFLVH3TRQUabQu_ym0Zz7PgGX0-kHA/edit?usp=sharing"",""แผน!EU19"")"),440)</f>
        <v>440</v>
      </c>
      <c r="J379" s="270">
        <f ca="1">IFERROR(__xludf.DUMMYFUNCTION("IMPORTRANGE(""https://docs.google.com/spreadsheets/d/1XWAQStnk-4SwqDmLtmXYiTMKHgktTP8We1SCoS47DrQ/edit?usp=sharing"",""จัดที่ดิน!AJ19"")"),100)</f>
        <v>100</v>
      </c>
      <c r="K379" s="466">
        <f t="shared" ca="1" si="164"/>
        <v>22.727272727272727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IFERROR(__xludf.DUMMYFUNCTION("IMPORTRANGE(""https://docs.google.com/spreadsheets/d/1XWAQStnk-4SwqDmLtmXYiTMKHgktTP8We1SCoS47DrQ/edit?usp=sharing"",""จัดที่ดิน!AK19"")"),444.35)</f>
        <v>444.35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IFERROR(__xludf.DUMMYFUNCTION("IMPORTRANGE(""https://docs.google.com/spreadsheets/d/1QqKyyYR6Q21VydFLVH3TRQUabQu_ym0Zz7PgGX0-kHA/edit?usp=sharing"",""แผน!EU19"")"),440)</f>
        <v>440</v>
      </c>
      <c r="J381" s="270">
        <f ca="1">IFERROR(__xludf.DUMMYFUNCTION("IMPORTRANGE(""https://docs.google.com/spreadsheets/d/1XWAQStnk-4SwqDmLtmXYiTMKHgktTP8We1SCoS47DrQ/edit?usp=sharing"",""จัดที่ดิน!AL19"")"),100)</f>
        <v>100</v>
      </c>
      <c r="K381" s="466">
        <f t="shared" ca="1" si="164"/>
        <v>22.727272727272727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IFERROR(__xludf.DUMMYFUNCTION("IMPORTRANGE(""https://docs.google.com/spreadsheets/d/1XWAQStnk-4SwqDmLtmXYiTMKHgktTP8We1SCoS47DrQ/edit?usp=sharing"",""จัดที่ดิน!AM19"")"),444.35)</f>
        <v>444.35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IFERROR(__xludf.DUMMYFUNCTION("IMPORTRANGE(""https://docs.google.com/spreadsheets/d/1QqKyyYR6Q21VydFLVH3TRQUabQu_ym0Zz7PgGX0-kHA/edit?usp=sharing"",""แผน!EW19"")"),50)</f>
        <v>50</v>
      </c>
      <c r="J385" s="469">
        <f ca="1">IFERROR(__xludf.DUMMYFUNCTION("IMPORTRANGE(""https://docs.google.com/spreadsheets/d/1XWAQStnk-4SwqDmLtmXYiTMKHgktTP8We1SCoS47DrQ/edit?usp=sharing"",""จัดที่ดิน!AP19"")"),8)</f>
        <v>8</v>
      </c>
      <c r="K385" s="470">
        <f ca="1">IF(I385&gt;0,J385*100/I385,0)</f>
        <v>16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4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IFERROR(__xludf.DUMMYFUNCTION("IMPORTRANGE(""https://docs.google.com/spreadsheets/d/1MeEWN-I1oV_STSDYn1IFDPWt_1FKiwhDph83XaGc0o0/edit?usp=sharing"",""งบพรบ!FG19"")"),0)</f>
        <v>0</v>
      </c>
      <c r="M394" s="93">
        <f ca="1">IFERROR(__xludf.DUMMYFUNCTION("IMPORTRANGE(""https://docs.google.com/spreadsheets/d/1MeEWN-I1oV_STSDYn1IFDPWt_1FKiwhDph83XaGc0o0/edit?usp=sharing"",""งบพรบ!FL19"")"),0)</f>
        <v>0</v>
      </c>
      <c r="N394" s="93">
        <f ca="1">IFERROR(__xludf.DUMMYFUNCTION("IMPORTRANGE(""https://docs.google.com/spreadsheets/d/1MeEWN-I1oV_STSDYn1IFDPWt_1FKiwhDph83XaGc0o0/edit?usp=sharing"",""งบพรบ!FN19"")"),0)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IFERROR(__xludf.DUMMYFUNCTION("IMPORTRANGE(""https://docs.google.com/spreadsheets/d/1MeEWN-I1oV_STSDYn1IFDPWt_1FKiwhDph83XaGc0o0/edit?usp=sharing"",""งบพรบ!FJ19"")"),0)</f>
        <v>0</v>
      </c>
      <c r="M397" s="93">
        <f ca="1">IFERROR(__xludf.DUMMYFUNCTION("IMPORTRANGE(""https://docs.google.com/spreadsheets/d/1MeEWN-I1oV_STSDYn1IFDPWt_1FKiwhDph83XaGc0o0/edit?usp=sharing"",""งบพรบ!FM19"")"),0)</f>
        <v>0</v>
      </c>
      <c r="N397" s="93">
        <f ca="1">IFERROR(__xludf.DUMMYFUNCTION("IMPORTRANGE(""https://docs.google.com/spreadsheets/d/1MeEWN-I1oV_STSDYn1IFDPWt_1FKiwhDph83XaGc0o0/edit?usp=sharing"",""งบพรบ!FO19"")"),0)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4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IFERROR(__xludf.DUMMYFUNCTION("IMPORTRANGE(""https://docs.google.com/spreadsheets/d/1MeEWN-I1oV_STSDYn1IFDPWt_1FKiwhDph83XaGc0o0/edit?usp=sharing"",""งบพรบ!FQ19"")"),0)</f>
        <v>0</v>
      </c>
      <c r="M407" s="93">
        <f ca="1">IFERROR(__xludf.DUMMYFUNCTION("IMPORTRANGE(""https://docs.google.com/spreadsheets/d/1MeEWN-I1oV_STSDYn1IFDPWt_1FKiwhDph83XaGc0o0/edit?usp=sharing"",""งบพรบ!FV19"")"),0)</f>
        <v>0</v>
      </c>
      <c r="N407" s="93">
        <f ca="1">IFERROR(__xludf.DUMMYFUNCTION("IMPORTRANGE(""https://docs.google.com/spreadsheets/d/1MeEWN-I1oV_STSDYn1IFDPWt_1FKiwhDph83XaGc0o0/edit?usp=sharing"",""งบพรบ!FX19"")"),0)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IFERROR(__xludf.DUMMYFUNCTION("IMPORTRANGE(""https://docs.google.com/spreadsheets/d/1MeEWN-I1oV_STSDYn1IFDPWt_1FKiwhDph83XaGc0o0/edit?usp=sharing"",""งบพรบ!FT19"")"),0)</f>
        <v>0</v>
      </c>
      <c r="M410" s="93">
        <f ca="1">IFERROR(__xludf.DUMMYFUNCTION("IMPORTRANGE(""https://docs.google.com/spreadsheets/d/1MeEWN-I1oV_STSDYn1IFDPWt_1FKiwhDph83XaGc0o0/edit?usp=sharing"",""งบพรบ!FW19"")"),0)</f>
        <v>0</v>
      </c>
      <c r="N410" s="93">
        <f ca="1">IFERROR(__xludf.DUMMYFUNCTION("IMPORTRANGE(""https://docs.google.com/spreadsheets/d/1MeEWN-I1oV_STSDYn1IFDPWt_1FKiwhDph83XaGc0o0/edit?usp=sharing"",""งบพรบ!FY19"")"),0)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1726992</v>
      </c>
      <c r="M414" s="517">
        <f t="shared" si="181"/>
        <v>0</v>
      </c>
      <c r="N414" s="517">
        <f t="shared" si="181"/>
        <v>423953</v>
      </c>
      <c r="O414" s="517">
        <f ca="1">IF(L414&gt;0,N414*100/L414,0)</f>
        <v>24.548637167977617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20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100160</v>
      </c>
      <c r="M419" s="155">
        <f t="shared" si="184"/>
        <v>0</v>
      </c>
      <c r="N419" s="155">
        <f t="shared" si="184"/>
        <v>74520</v>
      </c>
      <c r="O419" s="155">
        <f t="shared" ref="O419:O424" ca="1" si="185">IF(L419&gt;0,N419*100/L419,0)</f>
        <v>74.400958466453673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100160</v>
      </c>
      <c r="M421" s="93">
        <f t="shared" si="187"/>
        <v>0</v>
      </c>
      <c r="N421" s="93">
        <f t="shared" si="187"/>
        <v>74520</v>
      </c>
      <c r="O421" s="93">
        <f t="shared" ca="1" si="185"/>
        <v>74.400958466453673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8">L423+L424</f>
        <v>100160</v>
      </c>
      <c r="M422" s="466">
        <f t="shared" si="188"/>
        <v>0</v>
      </c>
      <c r="N422" s="466">
        <f t="shared" si="188"/>
        <v>74520</v>
      </c>
      <c r="O422" s="466">
        <f t="shared" ca="1" si="185"/>
        <v>74.400958466453673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IFERROR(__xludf.DUMMYFUNCTION("IMPORTRANGE(""https://docs.google.com/spreadsheets/d/1QqKyyYR6Q21VydFLVH3TRQUabQu_ym0Zz7PgGX0-kHA/edit?usp=sharing"",""แผน!EY19"")"),100160)</f>
        <v>100160</v>
      </c>
      <c r="M424" s="93">
        <v>0</v>
      </c>
      <c r="N424" s="93">
        <f>N425+N426+N427+N428</f>
        <v>74520</v>
      </c>
      <c r="O424" s="93">
        <f t="shared" ca="1" si="185"/>
        <v>74.400958466453673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v>69900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v>4620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20</v>
      </c>
      <c r="J433" s="64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t="shared" ref="I434:J434" ca="1" si="193">I438+I440</f>
        <v>1</v>
      </c>
      <c r="J434" s="648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IFERROR(__xludf.DUMMYFUNCTION("IMPORTRANGE(""https://docs.google.com/spreadsheets/d/1QqKyyYR6Q21VydFLVH3TRQUabQu_ym0Zz7PgGX0-kHA/edit?usp=sharing"",""แผน!FC19"")"),20)</f>
        <v>20</v>
      </c>
      <c r="J435" s="549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IFERROR(__xludf.DUMMYFUNCTION("IMPORTRANGE(""https://docs.google.com/spreadsheets/d/1QqKyyYR6Q21VydFLVH3TRQUabQu_ym0Zz7PgGX0-kHA/edit?usp=sharing"",""แผน!FD19"")"),0)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IFERROR(__xludf.DUMMYFUNCTION("IMPORTRANGE(""https://docs.google.com/spreadsheets/d/1QqKyyYR6Q21VydFLVH3TRQUabQu_ym0Zz7PgGX0-kHA/edit?usp=sharing"",""แผน!FE19"")"),0)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IFERROR(__xludf.DUMMYFUNCTION("IMPORTRANGE(""https://docs.google.com/spreadsheets/d/1QqKyyYR6Q21VydFLVH3TRQUabQu_ym0Zz7PgGX0-kHA/edit?usp=sharing"",""แผน!FF19"")"),20)</f>
        <v>20</v>
      </c>
      <c r="J439" s="549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IFERROR(__xludf.DUMMYFUNCTION("IMPORTRANGE(""https://docs.google.com/spreadsheets/d/1QqKyyYR6Q21VydFLVH3TRQUabQu_ym0Zz7PgGX0-kHA/edit?usp=sharing"",""แผน!FG19"")"),1)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IFERROR(__xludf.DUMMYFUNCTION("IMPORTRANGE(""https://docs.google.com/spreadsheets/d/1QqKyyYR6Q21VydFLVH3TRQUabQu_ym0Zz7PgGX0-kHA/edit?usp=sharing"",""แผน!FH19"")"),0)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45</v>
      </c>
      <c r="J442" s="555">
        <f t="shared" si="195"/>
        <v>45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110</v>
      </c>
      <c r="J443" s="533">
        <f t="shared" si="196"/>
        <v>110</v>
      </c>
      <c r="K443" s="534">
        <f t="shared" ca="1" si="194"/>
        <v>100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358780</v>
      </c>
      <c r="M444" s="195">
        <f t="shared" si="197"/>
        <v>0</v>
      </c>
      <c r="N444" s="195">
        <f t="shared" si="197"/>
        <v>95528</v>
      </c>
      <c r="O444" s="195">
        <f t="shared" ref="O444:O449" ca="1" si="198">IF(L444&gt;0,N444*100/L444,0)</f>
        <v>26.625787390601484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0"/>
        <v>358780</v>
      </c>
      <c r="M446" s="93">
        <f t="shared" si="200"/>
        <v>0</v>
      </c>
      <c r="N446" s="93">
        <f t="shared" si="200"/>
        <v>95528</v>
      </c>
      <c r="O446" s="93">
        <f t="shared" ca="1" si="198"/>
        <v>26.625787390601484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1">L448+L449</f>
        <v>358780</v>
      </c>
      <c r="M447" s="466">
        <f t="shared" si="201"/>
        <v>0</v>
      </c>
      <c r="N447" s="466">
        <f t="shared" si="201"/>
        <v>95528</v>
      </c>
      <c r="O447" s="466">
        <f t="shared" ca="1" si="198"/>
        <v>26.625787390601484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IFERROR(__xludf.DUMMYFUNCTION("IMPORTRANGE(""https://docs.google.com/spreadsheets/d/1QqKyyYR6Q21VydFLVH3TRQUabQu_ym0Zz7PgGX0-kHA/edit?usp=sharing"",""แผน!FJ19"")"),358780)</f>
        <v>358780</v>
      </c>
      <c r="M449" s="93">
        <v>0</v>
      </c>
      <c r="N449" s="93">
        <f>N450+N451+N452+N453</f>
        <v>95528</v>
      </c>
      <c r="O449" s="93">
        <f t="shared" ca="1" si="198"/>
        <v>26.625787390601484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v>40548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v>52000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v>2980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IFERROR(__xludf.DUMMYFUNCTION("IMPORTRANGE(""https://docs.google.com/spreadsheets/d/1QqKyyYR6Q21VydFLVH3TRQUabQu_ym0Zz7PgGX0-kHA/edit?usp=sharing"",""แผน!FN19"")"),45)</f>
        <v>45</v>
      </c>
      <c r="J460" s="215">
        <v>45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IFERROR(__xludf.DUMMYFUNCTION("IMPORTRANGE(""https://docs.google.com/spreadsheets/d/1QqKyyYR6Q21VydFLVH3TRQUabQu_ym0Zz7PgGX0-kHA/edit?usp=sharing"",""แผน!FO19"")"),110)</f>
        <v>110</v>
      </c>
      <c r="J462" s="215">
        <v>110</v>
      </c>
      <c r="K462" s="466">
        <f ca="1">IF(I462&gt;0,J462*100/I462,0)</f>
        <v>100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IFERROR(__xludf.DUMMYFUNCTION("IMPORTRANGE(""https://docs.google.com/spreadsheets/d/1QqKyyYR6Q21VydFLVH3TRQUabQu_ym0Zz7PgGX0-kHA/edit?usp=sharing"",""แผน!FO19"")"),110)</f>
        <v>110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IFERROR(__xludf.DUMMYFUNCTION("IMPORTRANGE(""https://docs.google.com/spreadsheets/d/1QqKyyYR6Q21VydFLVH3TRQUabQu_ym0Zz7PgGX0-kHA/edit?usp=sharing"",""แผน!FN19"")"),45)</f>
        <v>45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IFERROR(__xludf.DUMMYFUNCTION("IMPORTRANGE(""https://docs.google.com/spreadsheets/d/1QqKyyYR6Q21VydFLVH3TRQUabQu_ym0Zz7PgGX0-kHA/edit?usp=sharing"",""แผน!FX19"")"),61)</f>
        <v>61</v>
      </c>
      <c r="J465" s="555">
        <f>J485+J489+J492</f>
        <v>61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IFERROR(__xludf.DUMMYFUNCTION("IMPORTRANGE(""https://docs.google.com/spreadsheets/d/1QqKyyYR6Q21VydFLVH3TRQUabQu_ym0Zz7PgGX0-kHA/edit?usp=sharing"",""แผน!FW19"")"),600)</f>
        <v>600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491293</v>
      </c>
      <c r="M467" s="195">
        <f t="shared" si="206"/>
        <v>0</v>
      </c>
      <c r="N467" s="195">
        <f t="shared" si="206"/>
        <v>79010</v>
      </c>
      <c r="O467" s="195">
        <f t="shared" ref="O467:O472" ca="1" si="207">IF(L467&gt;0,N467*100/L467,0)</f>
        <v>16.082052868654753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09"/>
        <v>491293</v>
      </c>
      <c r="M469" s="93">
        <f t="shared" si="209"/>
        <v>0</v>
      </c>
      <c r="N469" s="93">
        <f t="shared" si="209"/>
        <v>79010</v>
      </c>
      <c r="O469" s="93">
        <f t="shared" ca="1" si="207"/>
        <v>16.082052868654753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0">L471+L472</f>
        <v>491293</v>
      </c>
      <c r="M470" s="466">
        <f t="shared" si="210"/>
        <v>0</v>
      </c>
      <c r="N470" s="466">
        <f t="shared" si="210"/>
        <v>79010</v>
      </c>
      <c r="O470" s="466">
        <f t="shared" ca="1" si="207"/>
        <v>16.082052868654753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IFERROR(__xludf.DUMMYFUNCTION("IMPORTRANGE(""https://docs.google.com/spreadsheets/d/1QqKyyYR6Q21VydFLVH3TRQUabQu_ym0Zz7PgGX0-kHA/edit?usp=sharing"",""แผน!FS19"")"),491293)</f>
        <v>491293</v>
      </c>
      <c r="M472" s="93">
        <v>0</v>
      </c>
      <c r="N472" s="93">
        <f>N473+N474+N475+N476</f>
        <v>79010</v>
      </c>
      <c r="O472" s="93">
        <f t="shared" ca="1" si="207"/>
        <v>16.082052868654753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>
        <v>71830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v>7180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IFERROR(__xludf.DUMMYFUNCTION("IMPORTRANGE(""https://docs.google.com/spreadsheets/d/1QqKyyYR6Q21VydFLVH3TRQUabQu_ym0Zz7PgGX0-kHA/edit?usp=sharing"",""แผน!FY19"")"),540)</f>
        <v>540</v>
      </c>
      <c r="J483" s="215">
        <v>540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54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IFERROR(__xludf.DUMMYFUNCTION("IMPORTRANGE(""https://docs.google.com/spreadsheets/d/1QqKyyYR6Q21VydFLVH3TRQUabQu_ym0Zz7PgGX0-kHA/edit?usp=sharing"",""แผน!FZ19"")"),54)</f>
        <v>54</v>
      </c>
      <c r="J485" s="215">
        <v>54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IFERROR(__xludf.DUMMYFUNCTION("IMPORTRANGE(""https://docs.google.com/spreadsheets/d/1QqKyyYR6Q21VydFLVH3TRQUabQu_ym0Zz7PgGX0-kHA/edit?usp=sharing"",""แผน!GA19"")"),60)</f>
        <v>60</v>
      </c>
      <c r="J487" s="215">
        <v>60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6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IFERROR(__xludf.DUMMYFUNCTION("IMPORTRANGE(""https://docs.google.com/spreadsheets/d/1QqKyyYR6Q21VydFLVH3TRQUabQu_ym0Zz7PgGX0-kHA/edit?usp=sharing"",""แผน!GB19"")"),6)</f>
        <v>6</v>
      </c>
      <c r="J489" s="215">
        <v>6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IFERROR(__xludf.DUMMYFUNCTION("IMPORTRANGE(""https://docs.google.com/spreadsheets/d/1QqKyyYR6Q21VydFLVH3TRQUabQu_ym0Zz7PgGX0-kHA/edit?usp=sharing"",""แผน!GC19"")"),1)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IFERROR(__xludf.DUMMYFUNCTION("IMPORTRANGE(""https://docs.google.com/spreadsheets/d/1QqKyyYR6Q21VydFLVH3TRQUabQu_ym0Zz7PgGX0-kHA/edit?usp=sharing"",""แผน!FY19"")"),540)</f>
        <v>540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IFERROR(__xludf.DUMMYFUNCTION("IMPORTRANGE(""https://docs.google.com/spreadsheets/d/1QqKyyYR6Q21VydFLVH3TRQUabQu_ym0Zz7PgGX0-kHA/edit?usp=sharing"",""แผน!GA19"")"),60)</f>
        <v>60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6">L503+L504</f>
        <v>0</v>
      </c>
      <c r="M502" s="614">
        <f t="shared" si="216"/>
        <v>0</v>
      </c>
      <c r="N502" s="614">
        <f t="shared" si="216"/>
        <v>0</v>
      </c>
      <c r="O502" s="614">
        <f t="shared" ref="O502:O507" si="217">IF(L502&gt;0,N502*100/L502,0)</f>
        <v>0</v>
      </c>
      <c r="P502" s="614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6"/>
      <c r="D505" s="853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853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 hidden="1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5">I537</f>
        <v>0</v>
      </c>
      <c r="J522" s="675">
        <f t="shared" ca="1" si="225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IFERROR(__xludf.DUMMYFUNCTION("IMPORTRANGE(""https://docs.google.com/spreadsheets/d/1QqKyyYR6Q21VydFLVH3TRQUabQu_ym0Zz7PgGX0-kHA/edit?usp=sharing"",""แผน!GQ19"")"),0)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IFERROR(__xludf.DUMMYFUNCTION("IMPORTRANGE(""https://docs.google.com/spreadsheets/d/1QqKyyYR6Q21VydFLVH3TRQUabQu_ym0Zz7PgGX0-kHA/edit?usp=sharing"",""แผน!GU19"")"),0)</f>
        <v>0</v>
      </c>
      <c r="J537" s="648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 hidden="1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IFERROR(__xludf.DUMMYFUNCTION("IMPORTRANGE(""https://docs.google.com/spreadsheets/d/1QqKyyYR6Q21VydFLVH3TRQUabQu_ym0Zz7PgGX0-kHA/edit?usp=sharing"",""แผน!GV19"")"),0)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 hidden="1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IFERROR(__xludf.DUMMYFUNCTION("IMPORTRANGE(""https://docs.google.com/spreadsheets/d/1QqKyyYR6Q21VydFLVH3TRQUabQu_ym0Zz7PgGX0-kHA/edit?usp=sharing"",""แผน!GW19"")"),0)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 hidden="1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IFERROR(__xludf.DUMMYFUNCTION("IMPORTRANGE(""https://docs.google.com/spreadsheets/d/1QqKyyYR6Q21VydFLVH3TRQUabQu_ym0Zz7PgGX0-kHA/edit?usp=sharing"",""แผน!GX19"")"),0)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 hidden="1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IFERROR(__xludf.DUMMYFUNCTION("IMPORTRANGE(""https://docs.google.com/spreadsheets/d/1QqKyyYR6Q21VydFLVH3TRQUabQu_ym0Zz7PgGX0-kHA/edit?usp=sharing"",""แผน!GY19"")"),0)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 hidden="1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IFERROR(__xludf.DUMMYFUNCTION("IMPORTRANGE(""https://docs.google.com/spreadsheets/d/1QqKyyYR6Q21VydFLVH3TRQUabQu_ym0Zz7PgGX0-kHA/edit?usp=sharing"",""แผน!GZ19"")"),0)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5">I559</f>
        <v>41986</v>
      </c>
      <c r="J543" s="654">
        <f t="shared" si="235"/>
        <v>0</v>
      </c>
      <c r="K543" s="655">
        <f t="shared" ca="1" si="234"/>
        <v>0</v>
      </c>
      <c r="L543" s="637"/>
      <c r="M543" s="637"/>
      <c r="N543" s="637"/>
      <c r="O543" s="637"/>
      <c r="P543" s="637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6">L545+L546</f>
        <v>402414</v>
      </c>
      <c r="M544" s="155">
        <f t="shared" si="236"/>
        <v>0</v>
      </c>
      <c r="N544" s="155">
        <f t="shared" si="236"/>
        <v>115935</v>
      </c>
      <c r="O544" s="155">
        <f t="shared" ref="O544:O549" ca="1" si="237">IF(L544&gt;0,N544*100/L544,0)</f>
        <v>28.809882359957655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39"/>
        <v>402414</v>
      </c>
      <c r="M546" s="93">
        <f t="shared" si="240"/>
        <v>0</v>
      </c>
      <c r="N546" s="93">
        <f t="shared" si="240"/>
        <v>115935</v>
      </c>
      <c r="O546" s="93">
        <f t="shared" ca="1" si="237"/>
        <v>28.809882359957655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1">L548+L549</f>
        <v>402414</v>
      </c>
      <c r="M547" s="466">
        <f t="shared" si="241"/>
        <v>0</v>
      </c>
      <c r="N547" s="466">
        <f t="shared" si="241"/>
        <v>115935</v>
      </c>
      <c r="O547" s="466">
        <f t="shared" ca="1" si="237"/>
        <v>28.809882359957655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IFERROR(__xludf.DUMMYFUNCTION("IMPORTRANGE(""https://docs.google.com/spreadsheets/d/1QqKyyYR6Q21VydFLVH3TRQUabQu_ym0Zz7PgGX0-kHA/edit?usp=sharing"",""แผน!HB19"")"),402414)</f>
        <v>402414</v>
      </c>
      <c r="M549" s="93">
        <v>0</v>
      </c>
      <c r="N549" s="93">
        <f>N550+N551+N552+N553+N554</f>
        <v>115935</v>
      </c>
      <c r="O549" s="93">
        <f t="shared" ca="1" si="237"/>
        <v>28.809882359957655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801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801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801">
        <v>52000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801">
        <v>63935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5">I576</f>
        <v>41986</v>
      </c>
      <c r="J559" s="675">
        <f t="shared" si="245"/>
        <v>0</v>
      </c>
      <c r="K559" s="644">
        <f t="shared" ref="K559:K561" ca="1" si="246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9"/>
      <c r="H560" s="734" t="s">
        <v>46</v>
      </c>
      <c r="I560" s="193">
        <f ca="1">IFERROR(__xludf.DUMMYFUNCTION("IMPORTRANGE(""https://docs.google.com/spreadsheets/d/1QqKyyYR6Q21VydFLVH3TRQUabQu_ym0Zz7PgGX0-kHA/edit?usp=sharing"",""แผน!HH19"")"),41986)</f>
        <v>41986</v>
      </c>
      <c r="J560" s="193">
        <f t="shared" ref="J560:J561" si="247">J562+J564+J566</f>
        <v>34072</v>
      </c>
      <c r="K560" s="380">
        <f t="shared" ca="1" si="246"/>
        <v>81.150859810412996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9"/>
      <c r="H561" s="734" t="s">
        <v>34</v>
      </c>
      <c r="I561" s="193">
        <f ca="1">IFERROR(__xludf.DUMMYFUNCTION("IMPORTRANGE(""https://docs.google.com/spreadsheets/d/1QqKyyYR6Q21VydFLVH3TRQUabQu_ym0Zz7PgGX0-kHA/edit?usp=sharing"",""แผน!HG19"")"),12241)</f>
        <v>12241</v>
      </c>
      <c r="J561" s="193">
        <f t="shared" si="247"/>
        <v>12032</v>
      </c>
      <c r="K561" s="380">
        <f t="shared" ca="1" si="246"/>
        <v>98.292623151703296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v>30434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v>9217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v>2931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v>557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v>707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v>2258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9"/>
      <c r="H568" s="734" t="s">
        <v>46</v>
      </c>
      <c r="I568" s="193">
        <f ca="1">IFERROR(__xludf.DUMMYFUNCTION("IMPORTRANGE(""https://docs.google.com/spreadsheets/d/1QqKyyYR6Q21VydFLVH3TRQUabQu_ym0Zz7PgGX0-kHA/edit?usp=sharing"",""แผน!HH19"")"),41986)</f>
        <v>41986</v>
      </c>
      <c r="J568" s="648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9"/>
      <c r="H569" s="734" t="s">
        <v>34</v>
      </c>
      <c r="I569" s="193">
        <f ca="1">IFERROR(__xludf.DUMMYFUNCTION("IMPORTRANGE(""https://docs.google.com/spreadsheets/d/1QqKyyYR6Q21VydFLVH3TRQUabQu_ym0Zz7PgGX0-kHA/edit?usp=sharing"",""แผน!HG19"")"),12241)</f>
        <v>12241</v>
      </c>
      <c r="J569" s="648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9"/>
      <c r="H576" s="734" t="s">
        <v>46</v>
      </c>
      <c r="I576" s="193">
        <f ca="1">IFERROR(__xludf.DUMMYFUNCTION("IMPORTRANGE(""https://docs.google.com/spreadsheets/d/1QqKyyYR6Q21VydFLVH3TRQUabQu_ym0Zz7PgGX0-kHA/edit?usp=sharing"",""แผน!HH19"")"),41986)</f>
        <v>41986</v>
      </c>
      <c r="J576" s="648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9"/>
      <c r="H577" s="734" t="s">
        <v>34</v>
      </c>
      <c r="I577" s="193">
        <f ca="1">IFERROR(__xludf.DUMMYFUNCTION("IMPORTRANGE(""https://docs.google.com/spreadsheets/d/1QqKyyYR6Q21VydFLVH3TRQUabQu_ym0Zz7PgGX0-kHA/edit?usp=sharing"",""แผน!HG19"")"),12241)</f>
        <v>12241</v>
      </c>
      <c r="J577" s="648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3">I593</f>
        <v>1261.48</v>
      </c>
      <c r="J592" s="675">
        <f t="shared" si="253"/>
        <v>0</v>
      </c>
      <c r="K592" s="644">
        <f t="shared" ref="K592:K594" ca="1" si="254">IF(I592&gt;0,J592*100/I592,0)</f>
        <v>0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IFERROR(__xludf.DUMMYFUNCTION("IMPORTRANGE(""https://docs.google.com/spreadsheets/d/1QqKyyYR6Q21VydFLVH3TRQUabQu_ym0Zz7PgGX0-kHA/edit?usp=sharing"",""แผน!HJ19"")"),1261.48)</f>
        <v>1261.48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IFERROR(__xludf.DUMMYFUNCTION("IMPORTRANGE(""https://docs.google.com/spreadsheets/d/1QqKyyYR6Q21VydFLVH3TRQUabQu_ym0Zz7PgGX0-kHA/edit?usp=sharing"",""แผน!HI19"")"),190)</f>
        <v>190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 hidden="1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8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59">J614+J616</f>
        <v>0</v>
      </c>
      <c r="K612" s="684">
        <f t="shared" si="258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59"/>
        <v>0</v>
      </c>
      <c r="K613" s="684">
        <f t="shared" si="258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 hidden="1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IFERROR(__xludf.DUMMYFUNCTION("IMPORTRANGE(""https://docs.google.com/spreadsheets/d/1QqKyyYR6Q21VydFLVH3TRQUabQu_ym0Zz7PgGX0-kHA/edit?usp=sharing"",""แผน!HL19"")"),0)</f>
        <v>0</v>
      </c>
      <c r="J620" s="695">
        <f t="shared" ref="J620:J621" si="260">J622+J624+J626</f>
        <v>0</v>
      </c>
      <c r="K620" s="696">
        <f t="shared" ref="K620:K621" ca="1" si="261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 hidden="1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IFERROR(__xludf.DUMMYFUNCTION("IMPORTRANGE(""https://docs.google.com/spreadsheets/d/1QqKyyYR6Q21VydFLVH3TRQUabQu_ym0Zz7PgGX0-kHA/edit?usp=sharing"",""แผน!HK19"")"),0)</f>
        <v>0</v>
      </c>
      <c r="J621" s="695">
        <f t="shared" si="260"/>
        <v>0</v>
      </c>
      <c r="K621" s="696">
        <f t="shared" ca="1" si="261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 hidden="1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 hidden="1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 hidden="1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 hidden="1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 hidden="1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 hidden="1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262">I651</f>
        <v>70</v>
      </c>
      <c r="J628" s="708">
        <f t="shared" ca="1" si="262"/>
        <v>0</v>
      </c>
      <c r="K628" s="709">
        <f ca="1">IF(I628&gt;0,J628*100/I628,0)</f>
        <v>0</v>
      </c>
      <c r="L628" s="710"/>
      <c r="M628" s="710"/>
      <c r="N628" s="710"/>
      <c r="O628" s="710"/>
      <c r="P628" s="710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374345</v>
      </c>
      <c r="M629" s="195">
        <f t="shared" si="263"/>
        <v>0</v>
      </c>
      <c r="N629" s="195">
        <f t="shared" si="263"/>
        <v>58960</v>
      </c>
      <c r="O629" s="195">
        <f t="shared" ref="O629:O634" ca="1" si="264">IF(L629&gt;0,N629*100/L629,0)</f>
        <v>15.75017697578437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6"/>
        <v>374345</v>
      </c>
      <c r="M631" s="93">
        <f t="shared" si="266"/>
        <v>0</v>
      </c>
      <c r="N631" s="93">
        <f t="shared" si="266"/>
        <v>58960</v>
      </c>
      <c r="O631" s="93">
        <f t="shared" ca="1" si="264"/>
        <v>15.75017697578437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7">L633+L634</f>
        <v>374345</v>
      </c>
      <c r="M632" s="466">
        <f t="shared" si="267"/>
        <v>0</v>
      </c>
      <c r="N632" s="466">
        <f t="shared" si="267"/>
        <v>58960</v>
      </c>
      <c r="O632" s="466">
        <f t="shared" ca="1" si="264"/>
        <v>15.75017697578437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IFERROR(__xludf.DUMMYFUNCTION("IMPORTRANGE(""https://docs.google.com/spreadsheets/d/1QqKyyYR6Q21VydFLVH3TRQUabQu_ym0Zz7PgGX0-kHA/edit?usp=sharing"",""แผน!HN19"")"),374345)</f>
        <v>374345</v>
      </c>
      <c r="M634" s="93">
        <v>0</v>
      </c>
      <c r="N634" s="93">
        <f>N635+N636+N637+N638</f>
        <v>58960</v>
      </c>
      <c r="O634" s="93">
        <f t="shared" ca="1" si="264"/>
        <v>15.75017697578437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52000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v>6960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IFERROR(__xludf.DUMMYFUNCTION("IMPORTRANGE(""https://docs.google.com/spreadsheets/d/1QqKyyYR6Q21VydFLVH3TRQUabQu_ym0Zz7PgGX0-kHA/edit?usp=sharing"",""แผน!HR19"")"),1)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IFERROR(__xludf.DUMMYFUNCTION("IMPORTRANGE(""https://docs.google.com/spreadsheets/d/1QqKyyYR6Q21VydFLVH3TRQUabQu_ym0Zz7PgGX0-kHA/edit?usp=sharing"",""แผน!HR19"")"),1)</f>
        <v>1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IFERROR(__xludf.DUMMYFUNCTION("IMPORTRANGE(""https://docs.google.com/spreadsheets/d/1XWAQStnk-4SwqDmLtmXYiTMKHgktTP8We1SCoS47DrQ/edit?usp=sharing"",""จัดที่ดิน!AS19"")"),17)</f>
        <v>17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907">
        <f ca="1">IFERROR(__xludf.DUMMYFUNCTION("IMPORTRANGE(""https://docs.google.com/spreadsheets/d/1XWAQStnk-4SwqDmLtmXYiTMKHgktTP8We1SCoS47DrQ/edit?usp=sharing"",""จัดที่ดิน!AT19"")"),3.87)</f>
        <v>3.87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IFERROR(__xludf.DUMMYFUNCTION("IMPORTRANGE(""https://docs.google.com/spreadsheets/d/1QqKyyYR6Q21VydFLVH3TRQUabQu_ym0Zz7PgGX0-kHA/edit?usp=sharing"",""แผน!HS19"")"),70)</f>
        <v>70</v>
      </c>
      <c r="J647" s="270">
        <f ca="1">IFERROR(__xludf.DUMMYFUNCTION("IMPORTRANGE(""https://docs.google.com/spreadsheets/d/1XWAQStnk-4SwqDmLtmXYiTMKHgktTP8We1SCoS47DrQ/edit?usp=sharing"",""จัดที่ดิน!AU19"")"),16)</f>
        <v>16</v>
      </c>
      <c r="K647" s="163">
        <f t="shared" ca="1" si="271"/>
        <v>22.857142857142858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IFERROR(__xludf.DUMMYFUNCTION("IMPORTRANGE(""https://docs.google.com/spreadsheets/d/1XWAQStnk-4SwqDmLtmXYiTMKHgktTP8We1SCoS47DrQ/edit?usp=sharing"",""จัดที่ดิน!AV19"")"),3.82)</f>
        <v>3.82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IFERROR(__xludf.DUMMYFUNCTION("IMPORTRANGE(""https://docs.google.com/spreadsheets/d/1QqKyyYR6Q21VydFLVH3TRQUabQu_ym0Zz7PgGX0-kHA/edit?usp=sharing"",""แผน!HS19"")"),70)</f>
        <v>70</v>
      </c>
      <c r="J649" s="270">
        <f ca="1">IFERROR(__xludf.DUMMYFUNCTION("IMPORTRANGE(""https://docs.google.com/spreadsheets/d/1XWAQStnk-4SwqDmLtmXYiTMKHgktTP8We1SCoS47DrQ/edit?usp=sharing"",""จัดที่ดิน!AW19"")"),0)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IFERROR(__xludf.DUMMYFUNCTION("IMPORTRANGE(""https://docs.google.com/spreadsheets/d/1XWAQStnk-4SwqDmLtmXYiTMKHgktTP8We1SCoS47DrQ/edit?usp=sharing"",""จัดที่ดิน!AX19"")"),0)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IFERROR(__xludf.DUMMYFUNCTION("IMPORTRANGE(""https://docs.google.com/spreadsheets/d/1QqKyyYR6Q21VydFLVH3TRQUabQu_ym0Zz7PgGX0-kHA/edit?usp=sharing"",""แผน!HS19"")"),70)</f>
        <v>70</v>
      </c>
      <c r="J651" s="270">
        <f ca="1">IFERROR(__xludf.DUMMYFUNCTION("IMPORTRANGE(""https://docs.google.com/spreadsheets/d/1XWAQStnk-4SwqDmLtmXYiTMKHgktTP8We1SCoS47DrQ/edit?usp=sharing"",""จัดที่ดิน!AY19"")"),0)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IFERROR(__xludf.DUMMYFUNCTION("IMPORTRANGE(""https://docs.google.com/spreadsheets/d/1XWAQStnk-4SwqDmLtmXYiTMKHgktTP8We1SCoS47DrQ/edit?usp=sharing"",""จัดที่ดิน!AZ19"")"),0)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 hidden="1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 hidden="1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2">I669</f>
        <v>0</v>
      </c>
      <c r="J654" s="675">
        <f t="shared" si="27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 hidden="1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 hidden="1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IFERROR(__xludf.DUMMYFUNCTION("IMPORTRANGE(""https://docs.google.com/spreadsheets/d/1QqKyyYR6Q21VydFLVH3TRQUabQu_ym0Zz7PgGX0-kHA/edit?usp=sharing"",""แผน!HV19"")"),0)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 hidden="1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 hidden="1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 hidden="1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 hidden="1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v>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 hidden="1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 hidden="1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 hidden="1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IFERROR(__xludf.DUMMYFUNCTION("IMPORTRANGE(""https://docs.google.com/spreadsheets/d/1QqKyyYR6Q21VydFLVH3TRQUabQu_ym0Zz7PgGX0-kHA/edit?usp=sharing"",""แผน!IA19"")"),0)</f>
        <v>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 hidden="1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IFERROR(__xludf.DUMMYFUNCTION("IMPORTRANGE(""https://docs.google.com/spreadsheets/d/1QqKyyYR6Q21VydFLVH3TRQUabQu_ym0Zz7PgGX0-kHA/edit?usp=sharing"",""แผน!HZ19"")"),0)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 hidden="1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IFERROR(__xludf.DUMMYFUNCTION("IMPORTRANGE(""https://docs.google.com/spreadsheets/d/1QqKyyYR6Q21VydFLVH3TRQUabQu_ym0Zz7PgGX0-kHA/edit?usp=sharing"",""แผน!HZ19"")"),0)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 hidden="1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 hidden="1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 hidden="1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 hidden="1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 hidden="1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 hidden="1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 hidden="1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IFERROR(__xludf.DUMMYFUNCTION("IMPORTRANGE(""https://docs.google.com/spreadsheets/d/1QqKyyYR6Q21VydFLVH3TRQUabQu_ym0Zz7PgGX0-kHA/edit?usp=sharing"",""แผน!IB19"")"),0)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 hidden="1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 hidden="1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 hidden="1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 hidden="1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 hidden="1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 hidden="1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 hidden="1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 hidden="1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IFERROR(__xludf.DUMMYFUNCTION("IMPORTRANGE(""https://docs.google.com/spreadsheets/d/1QqKyyYR6Q21VydFLVH3TRQUabQu_ym0Zz7PgGX0-kHA/edit?usp=sharing"",""แผน!HW19"")"),0)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 hidden="1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 hidden="1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 hidden="1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 hidden="1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 hidden="1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 hidden="1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 hidden="1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IFERROR(__xludf.DUMMYFUNCTION("IMPORTRANGE(""https://docs.google.com/spreadsheets/d/1QqKyyYR6Q21VydFLVH3TRQUabQu_ym0Zz7PgGX0-kHA/edit?usp=sharing"",""แผน!IC19"")"),0)</f>
        <v>0</v>
      </c>
      <c r="J699" s="270">
        <f ca="1">IFERROR(__xludf.DUMMYFUNCTION("IMPORTRANGE(""https://docs.google.com/spreadsheets/d/1XWAQStnk-4SwqDmLtmXYiTMKHgktTP8We1SCoS47DrQ/edit?usp=sharing"",""จัดที่ดิน!BB19"")"),0)</f>
        <v>0</v>
      </c>
      <c r="K699" s="466">
        <f t="shared" ref="K699:K701" ca="1" si="290">IF(I699&gt;0,J699*100/I699,0)</f>
        <v>0</v>
      </c>
      <c r="L699" s="466"/>
      <c r="M699" s="189"/>
      <c r="N699" s="733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 hidden="1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IFERROR(__xludf.DUMMYFUNCTION("IMPORTRANGE(""https://docs.google.com/spreadsheets/d/1QqKyyYR6Q21VydFLVH3TRQUabQu_ym0Zz7PgGX0-kHA/edit?usp=sharing"",""แผน!ID19"")"),0)</f>
        <v>0</v>
      </c>
      <c r="J700" s="270">
        <f ca="1">IFERROR(__xludf.DUMMYFUNCTION("IMPORTRANGE(""https://docs.google.com/spreadsheets/d/1XWAQStnk-4SwqDmLtmXYiTMKHgktTP8We1SCoS47DrQ/edit?usp=sharing"",""จัดที่ดิน!BD19"")"),0)</f>
        <v>0</v>
      </c>
      <c r="K700" s="466">
        <f t="shared" ca="1" si="290"/>
        <v>0</v>
      </c>
      <c r="L700" s="466"/>
      <c r="M700" s="189"/>
      <c r="N700" s="733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 hidden="1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IFERROR(__xludf.DUMMYFUNCTION("IMPORTRANGE(""https://docs.google.com/spreadsheets/d/1QqKyyYR6Q21VydFLVH3TRQUabQu_ym0Zz7PgGX0-kHA/edit?usp=sharing"",""แผน!IE19"")"),0)</f>
        <v>0</v>
      </c>
      <c r="J701" s="648">
        <f>J704+J707</f>
        <v>0</v>
      </c>
      <c r="K701" s="195">
        <f t="shared" ca="1" si="290"/>
        <v>0</v>
      </c>
      <c r="L701" s="466"/>
      <c r="M701" s="189"/>
      <c r="N701" s="733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 hidden="1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 hidden="1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 hidden="1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IFERROR(__xludf.DUMMYFUNCTION("IMPORTRANGE(""https://docs.google.com/spreadsheets/d/1QqKyyYR6Q21VydFLVH3TRQUabQu_ym0Zz7PgGX0-kHA/edit?usp=sharing"",""แผน!IF19"")"),0)</f>
        <v>0</v>
      </c>
      <c r="J704" s="215">
        <v>0</v>
      </c>
      <c r="K704" s="466"/>
      <c r="L704" s="466"/>
      <c r="M704" s="189"/>
      <c r="N704" s="733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 hidden="1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0</v>
      </c>
      <c r="K705" s="466"/>
      <c r="L705" s="466"/>
      <c r="M705" s="189"/>
      <c r="N705" s="733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 hidden="1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0</v>
      </c>
      <c r="K706" s="466"/>
      <c r="L706" s="466"/>
      <c r="M706" s="189"/>
      <c r="N706" s="733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 hidden="1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IFERROR(__xludf.DUMMYFUNCTION("IMPORTRANGE(""https://docs.google.com/spreadsheets/d/1QqKyyYR6Q21VydFLVH3TRQUabQu_ym0Zz7PgGX0-kHA/edit?usp=sharing"",""แผน!IG19"")"),0)</f>
        <v>0</v>
      </c>
      <c r="J707" s="215">
        <v>0</v>
      </c>
      <c r="K707" s="466"/>
      <c r="L707" s="466"/>
      <c r="M707" s="189"/>
      <c r="N707" s="733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 hidden="1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IFERROR(__xludf.DUMMYFUNCTION("IMPORTRANGE(""https://docs.google.com/spreadsheets/d/1QqKyyYR6Q21VydFLVH3TRQUabQu_ym0Zz7PgGX0-kHA/edit?usp=sharing"",""แผน!IH19"")"),0)</f>
        <v>0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 hidden="1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 hidden="1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 hidden="1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 hidden="1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 hidden="1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 hidden="1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 hidden="1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 hidden="1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 hidden="1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 hidden="1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IFERROR(__xludf.DUMMYFUNCTION("IMPORTRANGE(""https://docs.google.com/spreadsheets/d/1XWAQStnk-4SwqDmLtmXYiTMKHgktTP8We1SCoS47DrQ/edit?usp=sharing"",""จัดที่ดิน!BF19"")"),0)</f>
        <v>0</v>
      </c>
      <c r="K718" s="466"/>
      <c r="L718" s="466"/>
      <c r="M718" s="189"/>
      <c r="N718" s="733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 hidden="1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IFERROR(__xludf.DUMMYFUNCTION("IMPORTRANGE(""https://docs.google.com/spreadsheets/d/1XWAQStnk-4SwqDmLtmXYiTMKHgktTP8We1SCoS47DrQ/edit?usp=sharing"",""จัดที่ดิน!BG19"")"),0)</f>
        <v>0</v>
      </c>
      <c r="K719" s="466"/>
      <c r="L719" s="733"/>
      <c r="M719" s="189"/>
      <c r="N719" s="733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 hidden="1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IFERROR(__xludf.DUMMYFUNCTION("IMPORTRANGE(""https://docs.google.com/spreadsheets/d/1QqKyyYR6Q21VydFLVH3TRQUabQu_ym0Zz7PgGX0-kHA/edit?usp=sharing"",""แผน!II19"")"),0)</f>
        <v>0</v>
      </c>
      <c r="J720" s="270">
        <f ca="1">IFERROR(__xludf.DUMMYFUNCTION("IMPORTRANGE(""https://docs.google.com/spreadsheets/d/1XWAQStnk-4SwqDmLtmXYiTMKHgktTP8We1SCoS47DrQ/edit?usp=sharing"",""จัดที่ดิน!BH19"")"),0)</f>
        <v>0</v>
      </c>
      <c r="K720" s="466">
        <f t="shared" ref="K720:K723" ca="1" si="291">IF(I720&gt;0,J720*100/I720,0)</f>
        <v>0</v>
      </c>
      <c r="L720" s="733"/>
      <c r="M720" s="189"/>
      <c r="N720" s="733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 hidden="1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IFERROR(__xludf.DUMMYFUNCTION("IMPORTRANGE(""https://docs.google.com/spreadsheets/d/1QqKyyYR6Q21VydFLVH3TRQUabQu_ym0Zz7PgGX0-kHA/edit?usp=sharing"",""แผน!IJ19"")"),0)</f>
        <v>0</v>
      </c>
      <c r="J721" s="648">
        <f ca="1">J723+J726</f>
        <v>0</v>
      </c>
      <c r="K721" s="195">
        <f t="shared" ca="1" si="291"/>
        <v>0</v>
      </c>
      <c r="L721" s="733"/>
      <c r="M721" s="189"/>
      <c r="N721" s="733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 hidden="1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IFERROR(__xludf.DUMMYFUNCTION("IMPORTRANGE(""https://docs.google.com/spreadsheets/d/1QqKyyYR6Q21VydFLVH3TRQUabQu_ym0Zz7PgGX0-kHA/edit?usp=sharing"",""แผน!IK19"")"),0)</f>
        <v>0</v>
      </c>
      <c r="J722" s="648">
        <f ca="1">J725+J728</f>
        <v>0</v>
      </c>
      <c r="K722" s="195">
        <f t="shared" ca="1" si="291"/>
        <v>0</v>
      </c>
      <c r="L722" s="466"/>
      <c r="M722" s="189"/>
      <c r="N722" s="733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 hidden="1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IFERROR(__xludf.DUMMYFUNCTION("IMPORTRANGE(""https://docs.google.com/spreadsheets/d/1QqKyyYR6Q21VydFLVH3TRQUabQu_ym0Zz7PgGX0-kHA/edit?usp=sharing"",""แผน!IL19"")"),0)</f>
        <v>0</v>
      </c>
      <c r="J723" s="270">
        <f ca="1">IFERROR(__xludf.DUMMYFUNCTION("IMPORTRANGE(""https://docs.google.com/spreadsheets/d/1XWAQStnk-4SwqDmLtmXYiTMKHgktTP8We1SCoS47DrQ/edit?usp=sharing"",""จัดที่ดิน!BM19"")"),0)</f>
        <v>0</v>
      </c>
      <c r="K723" s="466">
        <f t="shared" ca="1" si="291"/>
        <v>0</v>
      </c>
      <c r="L723" s="466"/>
      <c r="M723" s="189"/>
      <c r="N723" s="733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 hidden="1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IFERROR(__xludf.DUMMYFUNCTION("IMPORTRANGE(""https://docs.google.com/spreadsheets/d/1XWAQStnk-4SwqDmLtmXYiTMKHgktTP8We1SCoS47DrQ/edit?usp=sharing"",""จัดที่ดิน!BN19"")"),0)</f>
        <v>0</v>
      </c>
      <c r="K724" s="466"/>
      <c r="L724" s="733"/>
      <c r="M724" s="189"/>
      <c r="N724" s="733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 hidden="1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IFERROR(__xludf.DUMMYFUNCTION("IMPORTRANGE(""https://docs.google.com/spreadsheets/d/1QqKyyYR6Q21VydFLVH3TRQUabQu_ym0Zz7PgGX0-kHA/edit?usp=sharing"",""แผน!IM19"")"),0)</f>
        <v>0</v>
      </c>
      <c r="J725" s="270">
        <f ca="1">IFERROR(__xludf.DUMMYFUNCTION("IMPORTRANGE(""https://docs.google.com/spreadsheets/d/1XWAQStnk-4SwqDmLtmXYiTMKHgktTP8We1SCoS47DrQ/edit?usp=sharing"",""จัดที่ดิน!BO19"")"),0)</f>
        <v>0</v>
      </c>
      <c r="K725" s="466">
        <f t="shared" ref="K725:K726" ca="1" si="292">IF(I725&gt;0,J725*100/I725,0)</f>
        <v>0</v>
      </c>
      <c r="L725" s="733"/>
      <c r="M725" s="189"/>
      <c r="N725" s="733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 hidden="1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IFERROR(__xludf.DUMMYFUNCTION("IMPORTRANGE(""https://docs.google.com/spreadsheets/d/1QqKyyYR6Q21VydFLVH3TRQUabQu_ym0Zz7PgGX0-kHA/edit?usp=sharing"",""แผน!IN19"")"),0)</f>
        <v>0</v>
      </c>
      <c r="J726" s="270">
        <f ca="1">IFERROR(__xludf.DUMMYFUNCTION("IMPORTRANGE(""https://docs.google.com/spreadsheets/d/1XWAQStnk-4SwqDmLtmXYiTMKHgktTP8We1SCoS47DrQ/edit?usp=sharing"",""จัดที่ดิน!BR19"")"),0)</f>
        <v>0</v>
      </c>
      <c r="K726" s="466">
        <f t="shared" ca="1" si="292"/>
        <v>0</v>
      </c>
      <c r="L726" s="466"/>
      <c r="M726" s="189"/>
      <c r="N726" s="733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 hidden="1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IFERROR(__xludf.DUMMYFUNCTION("IMPORTRANGE(""https://docs.google.com/spreadsheets/d/1XWAQStnk-4SwqDmLtmXYiTMKHgktTP8We1SCoS47DrQ/edit?usp=sharing"",""จัดที่ดิน!BS19"")"),0)</f>
        <v>0</v>
      </c>
      <c r="K727" s="466"/>
      <c r="L727" s="733"/>
      <c r="M727" s="189"/>
      <c r="N727" s="733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 hidden="1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IFERROR(__xludf.DUMMYFUNCTION("IMPORTRANGE(""https://docs.google.com/spreadsheets/d/1QqKyyYR6Q21VydFLVH3TRQUabQu_ym0Zz7PgGX0-kHA/edit?usp=sharing"",""แผน!IO19"")"),0)</f>
        <v>0</v>
      </c>
      <c r="J728" s="270">
        <f ca="1">IFERROR(__xludf.DUMMYFUNCTION("IMPORTRANGE(""https://docs.google.com/spreadsheets/d/1XWAQStnk-4SwqDmLtmXYiTMKHgktTP8We1SCoS47DrQ/edit?usp=sharing"",""จัดที่ดิน!BT19"")"),0)</f>
        <v>0</v>
      </c>
      <c r="K728" s="466">
        <f t="shared" ref="K728:K729" ca="1" si="293">IF(I728&gt;0,J728*100/I728,0)</f>
        <v>0</v>
      </c>
      <c r="L728" s="733"/>
      <c r="M728" s="189"/>
      <c r="N728" s="733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 hidden="1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IFERROR(__xludf.DUMMYFUNCTION("IMPORTRANGE(""https://docs.google.com/spreadsheets/d/1QqKyyYR6Q21VydFLVH3TRQUabQu_ym0Zz7PgGX0-kHA/edit?usp=sharing"",""แผน!IP19"")"),0)</f>
        <v>0</v>
      </c>
      <c r="J729" s="648">
        <f>J732+J735</f>
        <v>0</v>
      </c>
      <c r="K729" s="195">
        <f t="shared" ca="1" si="293"/>
        <v>0</v>
      </c>
      <c r="L729" s="466"/>
      <c r="M729" s="189"/>
      <c r="N729" s="733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 hidden="1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0</v>
      </c>
      <c r="K730" s="466"/>
      <c r="L730" s="733"/>
      <c r="M730" s="466"/>
      <c r="N730" s="733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 hidden="1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0</v>
      </c>
      <c r="K731" s="466"/>
      <c r="L731" s="733"/>
      <c r="M731" s="466"/>
      <c r="N731" s="733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 hidden="1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0</v>
      </c>
      <c r="K732" s="466"/>
      <c r="L732" s="733"/>
      <c r="M732" s="466"/>
      <c r="N732" s="733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 hidden="1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0</v>
      </c>
      <c r="K733" s="466"/>
      <c r="L733" s="733"/>
      <c r="M733" s="466"/>
      <c r="N733" s="733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 hidden="1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0</v>
      </c>
      <c r="K734" s="466"/>
      <c r="L734" s="733"/>
      <c r="M734" s="466"/>
      <c r="N734" s="733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 hidden="1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0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4">L738+L739</f>
        <v>0</v>
      </c>
      <c r="M737" s="614">
        <f t="shared" si="294"/>
        <v>0</v>
      </c>
      <c r="N737" s="614">
        <f t="shared" si="294"/>
        <v>0</v>
      </c>
      <c r="O737" s="614">
        <f t="shared" ref="O737:O742" si="295">IF(L737&gt;0,N737*100/L737,0)</f>
        <v>0</v>
      </c>
      <c r="P737" s="614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6"/>
      <c r="D740" s="805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8">L741+L742</f>
        <v>0</v>
      </c>
      <c r="M740" s="614">
        <f t="shared" si="298"/>
        <v>0</v>
      </c>
      <c r="N740" s="614">
        <f t="shared" si="298"/>
        <v>0</v>
      </c>
      <c r="O740" s="614">
        <f t="shared" si="295"/>
        <v>0</v>
      </c>
      <c r="P740" s="614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6"/>
      <c r="D747" s="805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299">L748+L749</f>
        <v>0</v>
      </c>
      <c r="M747" s="614">
        <f t="shared" si="299"/>
        <v>0</v>
      </c>
      <c r="N747" s="614">
        <f t="shared" si="299"/>
        <v>0</v>
      </c>
      <c r="O747" s="614">
        <f t="shared" ref="O747:O749" si="300">IF(L747&gt;0,N747*100/L747,0)</f>
        <v>0</v>
      </c>
      <c r="P747" s="614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2">L755+L756</f>
        <v>0</v>
      </c>
      <c r="M754" s="614">
        <f t="shared" si="302"/>
        <v>0</v>
      </c>
      <c r="N754" s="614">
        <f t="shared" si="302"/>
        <v>0</v>
      </c>
      <c r="O754" s="614">
        <f t="shared" ref="O754:O759" si="303">IF(L754&gt;0,N754*100/L754,0)</f>
        <v>0</v>
      </c>
      <c r="P754" s="614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6"/>
      <c r="D757" s="805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6">L758+L759</f>
        <v>0</v>
      </c>
      <c r="M757" s="614">
        <f t="shared" si="306"/>
        <v>0</v>
      </c>
      <c r="N757" s="614">
        <f t="shared" si="306"/>
        <v>0</v>
      </c>
      <c r="O757" s="614">
        <f t="shared" si="303"/>
        <v>0</v>
      </c>
      <c r="P757" s="614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6"/>
      <c r="D764" s="805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7">L765+L766</f>
        <v>0</v>
      </c>
      <c r="M764" s="614">
        <f t="shared" si="307"/>
        <v>0</v>
      </c>
      <c r="N764" s="614">
        <f t="shared" si="307"/>
        <v>0</v>
      </c>
      <c r="O764" s="614">
        <f t="shared" ref="O764:O766" si="308">IF(L764&gt;0,N764*100/L764,0)</f>
        <v>0</v>
      </c>
      <c r="P764" s="614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0">L771+L772</f>
        <v>0</v>
      </c>
      <c r="M770" s="614">
        <f t="shared" si="310"/>
        <v>0</v>
      </c>
      <c r="N770" s="614">
        <f t="shared" si="310"/>
        <v>0</v>
      </c>
      <c r="O770" s="614">
        <f t="shared" ref="O770:O775" si="311">IF(L770&gt;0,N770*100/L770,0)</f>
        <v>0</v>
      </c>
      <c r="P770" s="614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6"/>
      <c r="D773" s="805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4">L774+L775</f>
        <v>0</v>
      </c>
      <c r="M773" s="614">
        <f t="shared" si="314"/>
        <v>0</v>
      </c>
      <c r="N773" s="614">
        <f t="shared" si="314"/>
        <v>0</v>
      </c>
      <c r="O773" s="614">
        <f t="shared" si="311"/>
        <v>0</v>
      </c>
      <c r="P773" s="614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6"/>
      <c r="D780" s="805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5">L781+L782</f>
        <v>0</v>
      </c>
      <c r="M780" s="614">
        <f t="shared" si="315"/>
        <v>0</v>
      </c>
      <c r="N780" s="614">
        <f t="shared" si="315"/>
        <v>0</v>
      </c>
      <c r="O780" s="614">
        <f t="shared" ref="O780:O782" si="316">IF(L780&gt;0,N780*100/L780,0)</f>
        <v>0</v>
      </c>
      <c r="P780" s="614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 hidden="1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871" t="s">
        <v>46</v>
      </c>
      <c r="I785" s="872">
        <f t="shared" ref="I785:J785" ca="1" si="318">I801+I803</f>
        <v>0</v>
      </c>
      <c r="J785" s="872">
        <f t="shared" ca="1" si="318"/>
        <v>0</v>
      </c>
      <c r="K785" s="873">
        <f ca="1">IF(I785&gt;0,J785*100/I785,0)</f>
        <v>0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 hidden="1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874" t="s">
        <v>12</v>
      </c>
      <c r="I786" s="875"/>
      <c r="J786" s="875"/>
      <c r="K786" s="87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6"/>
      <c r="D787" s="687"/>
      <c r="E787" s="726" t="s">
        <v>184</v>
      </c>
      <c r="F787" s="726"/>
      <c r="G787" s="568"/>
      <c r="H787" s="877" t="s">
        <v>12</v>
      </c>
      <c r="I787" s="875"/>
      <c r="J787" s="875"/>
      <c r="K787" s="87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6" t="s">
        <v>185</v>
      </c>
      <c r="F788" s="726"/>
      <c r="G788" s="568"/>
      <c r="H788" s="877" t="s">
        <v>12</v>
      </c>
      <c r="I788" s="875"/>
      <c r="J788" s="875"/>
      <c r="K788" s="876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 hidden="1">
      <c r="A789" s="562"/>
      <c r="B789" s="539"/>
      <c r="C789" s="539"/>
      <c r="D789" s="571" t="s">
        <v>20</v>
      </c>
      <c r="E789" s="730"/>
      <c r="F789" s="730"/>
      <c r="G789" s="189"/>
      <c r="H789" s="878" t="s">
        <v>12</v>
      </c>
      <c r="I789" s="879"/>
      <c r="J789" s="879"/>
      <c r="K789" s="880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6" t="s">
        <v>184</v>
      </c>
      <c r="F790" s="726"/>
      <c r="G790" s="568"/>
      <c r="H790" s="877" t="s">
        <v>12</v>
      </c>
      <c r="I790" s="875"/>
      <c r="J790" s="875"/>
      <c r="K790" s="87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6" t="s">
        <v>185</v>
      </c>
      <c r="F791" s="726"/>
      <c r="G791" s="568"/>
      <c r="H791" s="877" t="s">
        <v>12</v>
      </c>
      <c r="I791" s="875"/>
      <c r="J791" s="875"/>
      <c r="K791" s="876"/>
      <c r="L791" s="93">
        <f ca="1">IFERROR(__xludf.DUMMYFUNCTION("IMPORTRANGE(""https://docs.google.com/spreadsheets/d/1QqKyyYR6Q21VydFLVH3TRQUabQu_ym0Zz7PgGX0-kHA/edit?usp=sharing"",""แผน!JJ19"")"),0)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 hidden="1">
      <c r="A792" s="538"/>
      <c r="B792" s="539"/>
      <c r="C792" s="730"/>
      <c r="D792" s="730"/>
      <c r="E792" s="730"/>
      <c r="F792" s="730" t="s">
        <v>186</v>
      </c>
      <c r="G792" s="189"/>
      <c r="H792" s="878" t="s">
        <v>12</v>
      </c>
      <c r="I792" s="875"/>
      <c r="J792" s="875"/>
      <c r="K792" s="876"/>
      <c r="L792" s="466"/>
      <c r="M792" s="466"/>
      <c r="N792" s="801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 hidden="1">
      <c r="A793" s="538"/>
      <c r="B793" s="539"/>
      <c r="C793" s="730"/>
      <c r="D793" s="730"/>
      <c r="E793" s="730"/>
      <c r="F793" s="730" t="s">
        <v>187</v>
      </c>
      <c r="G793" s="189"/>
      <c r="H793" s="878" t="s">
        <v>12</v>
      </c>
      <c r="I793" s="875"/>
      <c r="J793" s="875"/>
      <c r="K793" s="876"/>
      <c r="L793" s="466"/>
      <c r="M793" s="466"/>
      <c r="N793" s="801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 hidden="1">
      <c r="A794" s="538"/>
      <c r="B794" s="539"/>
      <c r="C794" s="730"/>
      <c r="D794" s="730"/>
      <c r="E794" s="730"/>
      <c r="F794" s="730" t="s">
        <v>188</v>
      </c>
      <c r="G794" s="189"/>
      <c r="H794" s="878" t="s">
        <v>12</v>
      </c>
      <c r="I794" s="875"/>
      <c r="J794" s="875"/>
      <c r="K794" s="876"/>
      <c r="L794" s="466"/>
      <c r="M794" s="466"/>
      <c r="N794" s="801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 hidden="1">
      <c r="A795" s="538"/>
      <c r="B795" s="539"/>
      <c r="C795" s="730"/>
      <c r="D795" s="730"/>
      <c r="E795" s="730"/>
      <c r="F795" s="730" t="s">
        <v>189</v>
      </c>
      <c r="G795" s="189"/>
      <c r="H795" s="878" t="s">
        <v>12</v>
      </c>
      <c r="I795" s="875"/>
      <c r="J795" s="875"/>
      <c r="K795" s="876"/>
      <c r="L795" s="466"/>
      <c r="M795" s="466"/>
      <c r="N795" s="801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 hidden="1">
      <c r="A796" s="562"/>
      <c r="B796" s="539"/>
      <c r="C796" s="730"/>
      <c r="D796" s="571" t="s">
        <v>21</v>
      </c>
      <c r="E796" s="730"/>
      <c r="F796" s="730"/>
      <c r="G796" s="189"/>
      <c r="H796" s="881" t="s">
        <v>12</v>
      </c>
      <c r="I796" s="879"/>
      <c r="J796" s="879"/>
      <c r="K796" s="880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6"/>
      <c r="D797" s="726"/>
      <c r="E797" s="726" t="s">
        <v>18</v>
      </c>
      <c r="F797" s="726"/>
      <c r="G797" s="568"/>
      <c r="H797" s="877" t="s">
        <v>12</v>
      </c>
      <c r="I797" s="879"/>
      <c r="J797" s="879"/>
      <c r="K797" s="88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6"/>
      <c r="D798" s="726"/>
      <c r="E798" s="726" t="s">
        <v>19</v>
      </c>
      <c r="F798" s="726"/>
      <c r="G798" s="568"/>
      <c r="H798" s="882" t="s">
        <v>12</v>
      </c>
      <c r="I798" s="879"/>
      <c r="J798" s="879"/>
      <c r="K798" s="88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 hidden="1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883"/>
      <c r="I799" s="879"/>
      <c r="J799" s="879"/>
      <c r="K799" s="880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 hidden="1">
      <c r="A800" s="573"/>
      <c r="B800" s="585"/>
      <c r="C800" s="585"/>
      <c r="D800" s="585"/>
      <c r="E800" s="593"/>
      <c r="F800" s="593" t="s">
        <v>320</v>
      </c>
      <c r="G800" s="729"/>
      <c r="H800" s="884" t="s">
        <v>34</v>
      </c>
      <c r="I800" s="879"/>
      <c r="J800" s="885">
        <f ca="1">IFERROR(__xludf.DUMMYFUNCTION("IMPORTRANGE(""https://docs.google.com/spreadsheets/d/1MaWodYyGHDf7siQLGxnXhG4mBNTNIuy296niS2xXulU/edit?usp=sharing"",""RTK!H19"")"),0)</f>
        <v>0</v>
      </c>
      <c r="K800" s="876"/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 hidden="1">
      <c r="A801" s="573"/>
      <c r="B801" s="585"/>
      <c r="C801" s="585"/>
      <c r="D801" s="585"/>
      <c r="E801" s="593"/>
      <c r="F801" s="593"/>
      <c r="G801" s="729"/>
      <c r="H801" s="878" t="s">
        <v>46</v>
      </c>
      <c r="I801" s="885">
        <f ca="1">IFERROR(__xludf.DUMMYFUNCTION("IMPORTRANGE(""https://docs.google.com/spreadsheets/d/1MaWodYyGHDf7siQLGxnXhG4mBNTNIuy296niS2xXulU/edit?usp=sharing"",""RTK!G19"")"),0)</f>
        <v>0</v>
      </c>
      <c r="J801" s="886">
        <f ca="1">IFERROR(__xludf.DUMMYFUNCTION("IMPORTRANGE(""https://docs.google.com/spreadsheets/d/1MaWodYyGHDf7siQLGxnXhG4mBNTNIuy296niS2xXulU/edit?usp=sharing"",""RTK!I19"")"),0)</f>
        <v>0</v>
      </c>
      <c r="K801" s="887">
        <f ca="1">IF(I801&gt;0,J801*100/I801,0)</f>
        <v>0</v>
      </c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 hidden="1">
      <c r="A802" s="579"/>
      <c r="B802" s="581"/>
      <c r="C802" s="581"/>
      <c r="D802" s="581"/>
      <c r="E802" s="687"/>
      <c r="F802" s="687" t="s">
        <v>321</v>
      </c>
      <c r="G802" s="582"/>
      <c r="H802" s="884" t="s">
        <v>34</v>
      </c>
      <c r="I802" s="879"/>
      <c r="J802" s="885">
        <f ca="1">IFERROR(__xludf.DUMMYFUNCTION("IMPORTRANGE(""https://docs.google.com/spreadsheets/d/1MaWodYyGHDf7siQLGxnXhG4mBNTNIuy296niS2xXulU/edit?usp=sharing"",""RTK!L19"")"),0)</f>
        <v>0</v>
      </c>
      <c r="K802" s="876"/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 hidden="1">
      <c r="A803" s="579"/>
      <c r="B803" s="581"/>
      <c r="C803" s="581"/>
      <c r="D803" s="581"/>
      <c r="E803" s="687"/>
      <c r="F803" s="687"/>
      <c r="G803" s="582"/>
      <c r="H803" s="884" t="s">
        <v>46</v>
      </c>
      <c r="I803" s="885">
        <f ca="1">IFERROR(__xludf.DUMMYFUNCTION("IMPORTRANGE(""https://docs.google.com/spreadsheets/d/1MaWodYyGHDf7siQLGxnXhG4mBNTNIuy296niS2xXulU/edit?usp=sharing"",""RTK!K19"")"),0)</f>
        <v>0</v>
      </c>
      <c r="J803" s="886">
        <f ca="1">IFERROR(__xludf.DUMMYFUNCTION("IMPORTRANGE(""https://docs.google.com/spreadsheets/d/1MaWodYyGHDf7siQLGxnXhG4mBNTNIuy296niS2xXulU/edit?usp=sharing"",""RTK!M19"")"),0)</f>
        <v>0</v>
      </c>
      <c r="K803" s="887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 t="shared" si="327"/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8">L806+L807</f>
        <v>0</v>
      </c>
      <c r="M805" s="614">
        <f t="shared" si="328"/>
        <v>0</v>
      </c>
      <c r="N805" s="614">
        <f t="shared" si="328"/>
        <v>0</v>
      </c>
      <c r="O805" s="614">
        <f t="shared" ref="O805:O810" si="329">IF(L805&gt;0,N805*100/L805,0)</f>
        <v>0</v>
      </c>
      <c r="P805" s="614">
        <f t="shared" ref="P805:P810" si="330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2">L809+L810</f>
        <v>0</v>
      </c>
      <c r="M808" s="614">
        <f t="shared" si="332"/>
        <v>0</v>
      </c>
      <c r="N808" s="614">
        <f t="shared" si="332"/>
        <v>0</v>
      </c>
      <c r="O808" s="614">
        <f t="shared" si="329"/>
        <v>0</v>
      </c>
      <c r="P808" s="614">
        <f t="shared" si="330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3">L816+L817</f>
        <v>0</v>
      </c>
      <c r="M815" s="614">
        <f t="shared" si="333"/>
        <v>0</v>
      </c>
      <c r="N815" s="614">
        <f t="shared" si="333"/>
        <v>0</v>
      </c>
      <c r="O815" s="614">
        <f t="shared" ref="O815:O817" si="334">IF(L815&gt;0,N815*100/L815,0)</f>
        <v>0</v>
      </c>
      <c r="P815" s="614">
        <f t="shared" ref="P815:P817" si="335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55" t="s">
        <v>332</v>
      </c>
      <c r="B820" s="856"/>
      <c r="C820" s="856"/>
      <c r="D820" s="857"/>
      <c r="E820" s="856"/>
      <c r="F820" s="856"/>
      <c r="G820" s="858"/>
      <c r="H820" s="8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60"/>
      <c r="J820" s="860"/>
      <c r="K820" s="861"/>
      <c r="L820" s="861"/>
      <c r="M820" s="861"/>
      <c r="N820" s="861"/>
      <c r="O820" s="861"/>
      <c r="P820" s="86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IFERROR(__xludf.DUMMYFUNCTION("IMPORTRANGE(""https://docs.google.com/spreadsheets/d/19vJNZY_5yjcGF2XGBMNZRCAIB0Kwfpjp8YEOfu-bneM/edit?usp=sharing"",""งานกองทุน!D19"")"),4517957.46)</f>
        <v>4517957.46</v>
      </c>
      <c r="J821" s="270">
        <f ca="1">IFERROR(__xludf.DUMMYFUNCTION("IMPORTRANGE(""https://docs.google.com/spreadsheets/d/19vJNZY_5yjcGF2XGBMNZRCAIB0Kwfpjp8YEOfu-bneM/edit?usp=sharing"",""งานกองทุน!F19"")"),993370.06)</f>
        <v>993370.06</v>
      </c>
      <c r="K821" s="466">
        <f t="shared" ref="K821:K828" ca="1" si="336">IF(I821&gt;0,J821*100/I821,0)</f>
        <v>21.98714947617059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IFERROR(__xludf.DUMMYFUNCTION("IMPORTRANGE(""https://docs.google.com/spreadsheets/d/19vJNZY_5yjcGF2XGBMNZRCAIB0Kwfpjp8YEOfu-bneM/edit?usp=sharing"",""งานกองทุน!C19"")"),299)</f>
        <v>299</v>
      </c>
      <c r="J822" s="270">
        <f ca="1">IFERROR(__xludf.DUMMYFUNCTION("IMPORTRANGE(""https://docs.google.com/spreadsheets/d/19vJNZY_5yjcGF2XGBMNZRCAIB0Kwfpjp8YEOfu-bneM/edit?usp=sharing"",""งานกองทุน!E19"")"),68)</f>
        <v>68</v>
      </c>
      <c r="K822" s="466">
        <f t="shared" ca="1" si="336"/>
        <v>22.742474916387959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IFERROR(__xludf.DUMMYFUNCTION("IMPORTRANGE(""https://docs.google.com/spreadsheets/d/19vJNZY_5yjcGF2XGBMNZRCAIB0Kwfpjp8YEOfu-bneM/edit?usp=sharing"",""งานกองทุน!I19"")"),1300339.04)</f>
        <v>1300339.04</v>
      </c>
      <c r="J823" s="270">
        <f ca="1">IFERROR(__xludf.DUMMYFUNCTION("IMPORTRANGE(""https://docs.google.com/spreadsheets/d/19vJNZY_5yjcGF2XGBMNZRCAIB0Kwfpjp8YEOfu-bneM/edit?usp=sharing"",""งานกองทุน!K19"")"),277145.85)</f>
        <v>277145.84999999998</v>
      </c>
      <c r="K823" s="466">
        <f t="shared" ca="1" si="336"/>
        <v>21.313353015994963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IFERROR(__xludf.DUMMYFUNCTION("IMPORTRANGE(""https://docs.google.com/spreadsheets/d/19vJNZY_5yjcGF2XGBMNZRCAIB0Kwfpjp8YEOfu-bneM/edit?usp=sharing"",""งานกองทุน!H19"")"),75)</f>
        <v>75</v>
      </c>
      <c r="J824" s="270">
        <f ca="1">IFERROR(__xludf.DUMMYFUNCTION("IMPORTRANGE(""https://docs.google.com/spreadsheets/d/19vJNZY_5yjcGF2XGBMNZRCAIB0Kwfpjp8YEOfu-bneM/edit?usp=sharing"",""งานกองทุน!J19"")"),54)</f>
        <v>54</v>
      </c>
      <c r="K824" s="466">
        <f t="shared" ca="1" si="336"/>
        <v>72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IFERROR(__xludf.DUMMYFUNCTION("IMPORTRANGE(""https://docs.google.com/spreadsheets/d/19vJNZY_5yjcGF2XGBMNZRCAIB0Kwfpjp8YEOfu-bneM/edit?usp=sharing"",""งานกองทุน!N19"")"),0)</f>
        <v>0</v>
      </c>
      <c r="J825" s="270">
        <f ca="1">IFERROR(__xludf.DUMMYFUNCTION("IMPORTRANGE(""https://docs.google.com/spreadsheets/d/19vJNZY_5yjcGF2XGBMNZRCAIB0Kwfpjp8YEOfu-bneM/edit?usp=sharing"",""งานกองทุน!P19"")"),0)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IFERROR(__xludf.DUMMYFUNCTION("IMPORTRANGE(""https://docs.google.com/spreadsheets/d/19vJNZY_5yjcGF2XGBMNZRCAIB0Kwfpjp8YEOfu-bneM/edit?usp=sharing"",""งานกองทุน!M19"")"),0)</f>
        <v>0</v>
      </c>
      <c r="J826" s="270">
        <f ca="1">IFERROR(__xludf.DUMMYFUNCTION("IMPORTRANGE(""https://docs.google.com/spreadsheets/d/19vJNZY_5yjcGF2XGBMNZRCAIB0Kwfpjp8YEOfu-bneM/edit?usp=sharing"",""งานกองทุน!O19"")"),0)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IFERROR(__xludf.DUMMYFUNCTION("IMPORTRANGE(""https://docs.google.com/spreadsheets/d/19vJNZY_5yjcGF2XGBMNZRCAIB0Kwfpjp8YEOfu-bneM/edit?usp=sharing"",""งานกองทุน!S19"")"),6100000)</f>
        <v>6100000</v>
      </c>
      <c r="J827" s="270">
        <f ca="1">IFERROR(__xludf.DUMMYFUNCTION("IMPORTRANGE(""https://docs.google.com/spreadsheets/d/19vJNZY_5yjcGF2XGBMNZRCAIB0Kwfpjp8YEOfu-bneM/edit?usp=sharing"",""งานกองทุน!U19"")"),1320000)</f>
        <v>1320000</v>
      </c>
      <c r="K827" s="466">
        <f t="shared" ca="1" si="336"/>
        <v>21.639344262295083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IFERROR(__xludf.DUMMYFUNCTION("IMPORTRANGE(""https://docs.google.com/spreadsheets/d/19vJNZY_5yjcGF2XGBMNZRCAIB0Kwfpjp8YEOfu-bneM/edit?usp=sharing"",""งานกองทุน!R19"")"),244)</f>
        <v>244</v>
      </c>
      <c r="J828" s="469">
        <f ca="1">IFERROR(__xludf.DUMMYFUNCTION("IMPORTRANGE(""https://docs.google.com/spreadsheets/d/19vJNZY_5yjcGF2XGBMNZRCAIB0Kwfpjp8YEOfu-bneM/edit?usp=sharing"",""งานกองทุน!T19"")"),34)</f>
        <v>34</v>
      </c>
      <c r="K828" s="470">
        <f t="shared" ca="1" si="336"/>
        <v>13.934426229508198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C954D-2CE8-4847-B19A-B00A29F536A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4" customWidth="1"/>
    <col min="4" max="6" width="5.85546875" style="804" customWidth="1"/>
    <col min="7" max="7" width="56.42578125" style="804" customWidth="1"/>
    <col min="8" max="8" width="9.42578125" style="804" customWidth="1"/>
    <col min="9" max="9" width="18.7109375" style="804" bestFit="1" customWidth="1"/>
    <col min="10" max="10" width="16.85546875" style="804" bestFit="1" customWidth="1"/>
    <col min="11" max="11" width="12.5703125" style="804" customWidth="1"/>
    <col min="12" max="13" width="20.28515625" style="804" bestFit="1" customWidth="1"/>
    <col min="14" max="14" width="21.28515625" style="804" bestFit="1" customWidth="1"/>
    <col min="15" max="16" width="17.5703125" style="804" customWidth="1"/>
    <col min="17" max="16384" width="12.5703125" style="804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341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5751529</v>
      </c>
      <c r="M8" s="22">
        <f t="shared" ca="1" si="0"/>
        <v>3508430.14</v>
      </c>
      <c r="N8" s="22">
        <f t="shared" ca="1" si="0"/>
        <v>2555186.9300000002</v>
      </c>
      <c r="O8" s="22">
        <f t="shared" ref="O8:O16" ca="1" si="1">IF(L8&gt;0,N8*100/L8,0)</f>
        <v>44.426220053832644</v>
      </c>
      <c r="P8" s="22">
        <f t="shared" ref="P8:P16" ca="1" si="2">IF(M8&gt;0,N8*100/M8,0)</f>
        <v>72.82992187497284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5751529</v>
      </c>
      <c r="M10" s="30">
        <f t="shared" ca="1" si="3"/>
        <v>3508430.14</v>
      </c>
      <c r="N10" s="30">
        <f t="shared" ca="1" si="3"/>
        <v>2555186.9300000002</v>
      </c>
      <c r="O10" s="30">
        <f t="shared" ca="1" si="1"/>
        <v>44.426220053832644</v>
      </c>
      <c r="P10" s="30">
        <f t="shared" ca="1" si="2"/>
        <v>72.82992187497284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4901729</v>
      </c>
      <c r="M11" s="466">
        <f t="shared" ca="1" si="4"/>
        <v>2661830.14</v>
      </c>
      <c r="N11" s="466">
        <f t="shared" ca="1" si="4"/>
        <v>1714586.9300000002</v>
      </c>
      <c r="O11" s="466">
        <f t="shared" ca="1" si="1"/>
        <v>34.979227329785068</v>
      </c>
      <c r="P11" s="466">
        <f t="shared" ca="1" si="2"/>
        <v>64.413837090296084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4901729</v>
      </c>
      <c r="M13" s="93">
        <f t="shared" ca="1" si="5"/>
        <v>2661830.14</v>
      </c>
      <c r="N13" s="93">
        <f t="shared" ca="1" si="5"/>
        <v>1714586.9300000002</v>
      </c>
      <c r="O13" s="93">
        <f t="shared" ca="1" si="1"/>
        <v>34.979227329785068</v>
      </c>
      <c r="P13" s="93">
        <f t="shared" ca="1" si="2"/>
        <v>64.413837090296084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849800</v>
      </c>
      <c r="M14" s="466">
        <f t="shared" ca="1" si="6"/>
        <v>846600</v>
      </c>
      <c r="N14" s="466">
        <f t="shared" ca="1" si="6"/>
        <v>840600</v>
      </c>
      <c r="O14" s="466">
        <f t="shared" ca="1" si="1"/>
        <v>98.917392327606493</v>
      </c>
      <c r="P14" s="466">
        <f t="shared" ca="1" si="2"/>
        <v>99.291282778171507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849800</v>
      </c>
      <c r="M16" s="52">
        <f t="shared" ca="1" si="7"/>
        <v>846600</v>
      </c>
      <c r="N16" s="52">
        <f t="shared" ca="1" si="7"/>
        <v>840600</v>
      </c>
      <c r="O16" s="52">
        <f t="shared" ca="1" si="1"/>
        <v>98.917392327606493</v>
      </c>
      <c r="P16" s="52">
        <f t="shared" ca="1" si="2"/>
        <v>99.291282778171507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4206580</v>
      </c>
      <c r="M18" s="22">
        <f t="shared" ca="1" si="8"/>
        <v>3508430.14</v>
      </c>
      <c r="N18" s="22">
        <f t="shared" ca="1" si="8"/>
        <v>2239112.9300000002</v>
      </c>
      <c r="O18" s="22">
        <f t="shared" ref="O18:O26" ca="1" si="9">IF(L18&gt;0,N18*100/L18,0)</f>
        <v>53.228820799794612</v>
      </c>
      <c r="P18" s="22">
        <f t="shared" ref="P18:P26" ca="1" si="10">IF(M18&gt;0,N18*100/M18,0)</f>
        <v>63.820935308690522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4206580</v>
      </c>
      <c r="M20" s="30">
        <f t="shared" ca="1" si="11"/>
        <v>3508430.14</v>
      </c>
      <c r="N20" s="30">
        <f t="shared" ca="1" si="11"/>
        <v>2239112.9300000002</v>
      </c>
      <c r="O20" s="30">
        <f t="shared" ca="1" si="9"/>
        <v>53.228820799794612</v>
      </c>
      <c r="P20" s="30">
        <f t="shared" ca="1" si="10"/>
        <v>63.820935308690522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3356780</v>
      </c>
      <c r="M21" s="466">
        <f t="shared" ca="1" si="12"/>
        <v>2661830.14</v>
      </c>
      <c r="N21" s="466">
        <f t="shared" ca="1" si="12"/>
        <v>1398512.9300000002</v>
      </c>
      <c r="O21" s="466">
        <f t="shared" ca="1" si="9"/>
        <v>41.662335035361281</v>
      </c>
      <c r="P21" s="466">
        <f t="shared" ca="1" si="10"/>
        <v>52.539525681379516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3356780</v>
      </c>
      <c r="M23" s="93">
        <f t="shared" ca="1" si="13"/>
        <v>2661830.14</v>
      </c>
      <c r="N23" s="93">
        <f t="shared" ca="1" si="13"/>
        <v>1398512.9300000002</v>
      </c>
      <c r="O23" s="93">
        <f t="shared" ca="1" si="9"/>
        <v>41.662335035361281</v>
      </c>
      <c r="P23" s="93">
        <f t="shared" ca="1" si="10"/>
        <v>52.539525681379516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849800</v>
      </c>
      <c r="M24" s="466">
        <f t="shared" ca="1" si="14"/>
        <v>846600</v>
      </c>
      <c r="N24" s="466">
        <f t="shared" ca="1" si="14"/>
        <v>840600</v>
      </c>
      <c r="O24" s="466">
        <f t="shared" ca="1" si="9"/>
        <v>98.917392327606493</v>
      </c>
      <c r="P24" s="466">
        <f t="shared" ca="1" si="10"/>
        <v>99.291282778171507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849800</v>
      </c>
      <c r="M26" s="52">
        <f t="shared" ca="1" si="15"/>
        <v>846600</v>
      </c>
      <c r="N26" s="52">
        <f t="shared" ca="1" si="15"/>
        <v>840600</v>
      </c>
      <c r="O26" s="52">
        <f t="shared" ca="1" si="9"/>
        <v>98.917392327606493</v>
      </c>
      <c r="P26" s="52">
        <f t="shared" ca="1" si="10"/>
        <v>99.291282778171507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1544949</v>
      </c>
      <c r="M28" s="22">
        <f t="shared" si="16"/>
        <v>0</v>
      </c>
      <c r="N28" s="22">
        <f t="shared" si="16"/>
        <v>316074</v>
      </c>
      <c r="O28" s="22">
        <f t="shared" ref="O28:O37" ca="1" si="17">IF(L28&gt;0,N28*100/L28,0)</f>
        <v>20.458539408096968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1544949</v>
      </c>
      <c r="M30" s="30">
        <f t="shared" si="19"/>
        <v>0</v>
      </c>
      <c r="N30" s="30">
        <f t="shared" si="19"/>
        <v>316074</v>
      </c>
      <c r="O30" s="30">
        <f t="shared" ca="1" si="17"/>
        <v>20.458539408096968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1544949</v>
      </c>
      <c r="M31" s="466">
        <f t="shared" si="20"/>
        <v>0</v>
      </c>
      <c r="N31" s="466">
        <f t="shared" si="20"/>
        <v>316074</v>
      </c>
      <c r="O31" s="466">
        <f t="shared" ca="1" si="17"/>
        <v>20.458539408096968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1544949</v>
      </c>
      <c r="M33" s="93">
        <f t="shared" si="21"/>
        <v>0</v>
      </c>
      <c r="N33" s="93">
        <f t="shared" si="21"/>
        <v>316074</v>
      </c>
      <c r="O33" s="93">
        <f t="shared" ca="1" si="17"/>
        <v>20.458539408096968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4206580</v>
      </c>
      <c r="M37" s="812">
        <f t="shared" ca="1" si="24"/>
        <v>3508430.14</v>
      </c>
      <c r="N37" s="812">
        <f t="shared" ca="1" si="24"/>
        <v>2239112.9300000002</v>
      </c>
      <c r="O37" s="812">
        <f t="shared" ca="1" si="17"/>
        <v>53.228820799794612</v>
      </c>
      <c r="P37" s="812">
        <f t="shared" ca="1" si="18"/>
        <v>63.820935308690522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386350</v>
      </c>
      <c r="M41" s="85">
        <f t="shared" ca="1" si="25"/>
        <v>394520.14</v>
      </c>
      <c r="N41" s="85">
        <f t="shared" ca="1" si="25"/>
        <v>196271</v>
      </c>
      <c r="O41" s="85">
        <f t="shared" ref="O41:O49" ca="1" si="26">IF(L41&gt;0,N41*100/L41,0)</f>
        <v>50.801345929856346</v>
      </c>
      <c r="P41" s="85">
        <f t="shared" ref="P41:P49" ca="1" si="27">IF(M41&gt;0,N41*100/M41,0)</f>
        <v>49.749297969933799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386350</v>
      </c>
      <c r="M43" s="92">
        <f t="shared" ca="1" si="28"/>
        <v>394520.14</v>
      </c>
      <c r="N43" s="92">
        <f t="shared" ca="1" si="28"/>
        <v>196271</v>
      </c>
      <c r="O43" s="92">
        <f t="shared" ca="1" si="26"/>
        <v>50.801345929856346</v>
      </c>
      <c r="P43" s="92">
        <f t="shared" ca="1" si="27"/>
        <v>49.749297969933799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386350</v>
      </c>
      <c r="M44" s="466">
        <f t="shared" ca="1" si="29"/>
        <v>394520.14</v>
      </c>
      <c r="N44" s="466">
        <f t="shared" ca="1" si="29"/>
        <v>196271</v>
      </c>
      <c r="O44" s="466">
        <f t="shared" ca="1" si="26"/>
        <v>50.801345929856346</v>
      </c>
      <c r="P44" s="466">
        <f t="shared" ca="1" si="27"/>
        <v>49.749297969933799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IFERROR(__xludf.DUMMYFUNCTION("IMPORTRANGE(""https://docs.google.com/spreadsheets/d/1MeEWN-I1oV_STSDYn1IFDPWt_1FKiwhDph83XaGc0o0/edit?usp=sharing"",""งบพรบ!M20"")"),386350)</f>
        <v>386350</v>
      </c>
      <c r="M46" s="93">
        <f ca="1">IFERROR(__xludf.DUMMYFUNCTION("IMPORTRANGE(""https://docs.google.com/spreadsheets/d/1MeEWN-I1oV_STSDYn1IFDPWt_1FKiwhDph83XaGc0o0/edit?usp=sharing"",""งบพรบ!R20"")"),394520.14)</f>
        <v>394520.14</v>
      </c>
      <c r="N46" s="93">
        <f ca="1">IFERROR(__xludf.DUMMYFUNCTION("IMPORTRANGE(""https://docs.google.com/spreadsheets/d/1MeEWN-I1oV_STSDYn1IFDPWt_1FKiwhDph83XaGc0o0/edit?usp=sharing"",""งบพรบ!T20"")"),196271)</f>
        <v>196271</v>
      </c>
      <c r="O46" s="93">
        <f t="shared" ca="1" si="26"/>
        <v>50.801345929856346</v>
      </c>
      <c r="P46" s="93">
        <f t="shared" ca="1" si="27"/>
        <v>49.749297969933799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IFERROR(__xludf.DUMMYFUNCTION("IMPORTRANGE(""https://docs.google.com/spreadsheets/d/1MeEWN-I1oV_STSDYn1IFDPWt_1FKiwhDph83XaGc0o0/edit?usp=sharing"",""งบพรบ!P20"")"),0)</f>
        <v>0</v>
      </c>
      <c r="M49" s="52">
        <f ca="1">IFERROR(__xludf.DUMMYFUNCTION("IMPORTRANGE(""https://docs.google.com/spreadsheets/d/1MeEWN-I1oV_STSDYn1IFDPWt_1FKiwhDph83XaGc0o0/edit?usp=sharing"",""งบพรบ!S20"")"),0)</f>
        <v>0</v>
      </c>
      <c r="N49" s="52">
        <f ca="1">IFERROR(__xludf.DUMMYFUNCTION("IMPORTRANGE(""https://docs.google.com/spreadsheets/d/1MeEWN-I1oV_STSDYn1IFDPWt_1FKiwhDph83XaGc0o0/edit?usp=sharing"",""งบพรบ!U20"")"),0)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1374800</v>
      </c>
      <c r="M53" s="116">
        <f t="shared" ca="1" si="31"/>
        <v>1216800</v>
      </c>
      <c r="N53" s="116">
        <f t="shared" ca="1" si="31"/>
        <v>983294.77</v>
      </c>
      <c r="O53" s="116">
        <f t="shared" ref="O53:O61" ca="1" si="32">IF(L53&gt;0,N53*100/L53,0)</f>
        <v>71.522750218213559</v>
      </c>
      <c r="P53" s="116">
        <f t="shared" ref="P53:P61" ca="1" si="33">IF(M53&gt;0,N53*100/M53,0)</f>
        <v>80.809892340565412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1374800</v>
      </c>
      <c r="M55" s="123">
        <f t="shared" ca="1" si="34"/>
        <v>1216800</v>
      </c>
      <c r="N55" s="123">
        <f t="shared" ca="1" si="34"/>
        <v>983294.77</v>
      </c>
      <c r="O55" s="123">
        <f t="shared" ca="1" si="32"/>
        <v>71.522750218213559</v>
      </c>
      <c r="P55" s="123">
        <f t="shared" ca="1" si="33"/>
        <v>80.809892340565412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622800</v>
      </c>
      <c r="M56" s="466">
        <f t="shared" ca="1" si="35"/>
        <v>468000</v>
      </c>
      <c r="N56" s="466">
        <f t="shared" ca="1" si="35"/>
        <v>240494.77</v>
      </c>
      <c r="O56" s="466">
        <f t="shared" ca="1" si="32"/>
        <v>38.615088310854205</v>
      </c>
      <c r="P56" s="466">
        <f t="shared" ca="1" si="33"/>
        <v>51.387771367521367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IFERROR(__xludf.DUMMYFUNCTION("IMPORTRANGE(""https://docs.google.com/spreadsheets/d/1MeEWN-I1oV_STSDYn1IFDPWt_1FKiwhDph83XaGc0o0/edit?usp=sharing"",""งบพรบ!W20"")"),622800)</f>
        <v>622800</v>
      </c>
      <c r="M58" s="93">
        <f ca="1">IFERROR(__xludf.DUMMYFUNCTION("IMPORTRANGE(""https://docs.google.com/spreadsheets/d/1MeEWN-I1oV_STSDYn1IFDPWt_1FKiwhDph83XaGc0o0/edit?usp=sharing"",""งบพรบ!AB20"")"),468000)</f>
        <v>468000</v>
      </c>
      <c r="N58" s="93">
        <f ca="1">IFERROR(__xludf.DUMMYFUNCTION("IMPORTRANGE(""https://docs.google.com/spreadsheets/d/1MeEWN-I1oV_STSDYn1IFDPWt_1FKiwhDph83XaGc0o0/edit?usp=sharing"",""งบพรบ!AD20"")"),240494.77)</f>
        <v>240494.77</v>
      </c>
      <c r="O58" s="93">
        <f t="shared" ca="1" si="32"/>
        <v>38.615088310854205</v>
      </c>
      <c r="P58" s="93">
        <f t="shared" ca="1" si="33"/>
        <v>51.387771367521367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752000</v>
      </c>
      <c r="M59" s="466">
        <f t="shared" ca="1" si="36"/>
        <v>748800</v>
      </c>
      <c r="N59" s="466">
        <f t="shared" ca="1" si="36"/>
        <v>742800</v>
      </c>
      <c r="O59" s="466">
        <f t="shared" ca="1" si="32"/>
        <v>98.776595744680847</v>
      </c>
      <c r="P59" s="466">
        <f t="shared" ca="1" si="33"/>
        <v>99.198717948717942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IFERROR(__xludf.DUMMYFUNCTION("IMPORTRANGE(""https://docs.google.com/spreadsheets/d/1MeEWN-I1oV_STSDYn1IFDPWt_1FKiwhDph83XaGc0o0/edit?usp=sharing"",""งบพรบ!Z20"")"),752000)</f>
        <v>752000</v>
      </c>
      <c r="M61" s="52">
        <f ca="1">IFERROR(__xludf.DUMMYFUNCTION("IMPORTRANGE(""https://docs.google.com/spreadsheets/d/1MeEWN-I1oV_STSDYn1IFDPWt_1FKiwhDph83XaGc0o0/edit?usp=sharing"",""งบพรบ!AC20"")"),748800)</f>
        <v>748800</v>
      </c>
      <c r="N61" s="52">
        <f ca="1">IFERROR(__xludf.DUMMYFUNCTION("IMPORTRANGE(""https://docs.google.com/spreadsheets/d/1MeEWN-I1oV_STSDYn1IFDPWt_1FKiwhDph83XaGc0o0/edit?usp=sharing"",""งบพรบ!AE20"")"),742800)</f>
        <v>742800</v>
      </c>
      <c r="O61" s="52">
        <f t="shared" ca="1" si="32"/>
        <v>98.776595744680847</v>
      </c>
      <c r="P61" s="52">
        <f t="shared" ca="1" si="33"/>
        <v>99.198717948717942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384000</v>
      </c>
      <c r="M66" s="155">
        <f t="shared" ca="1" si="39"/>
        <v>285000</v>
      </c>
      <c r="N66" s="155">
        <f t="shared" ca="1" si="39"/>
        <v>104905</v>
      </c>
      <c r="O66" s="155">
        <f t="shared" ref="O66:O74" ca="1" si="40">IF(L66&gt;0,N66*100/L66,0)</f>
        <v>27.319010416666668</v>
      </c>
      <c r="P66" s="155">
        <f t="shared" ref="P66:P74" ca="1" si="41">IF(M66&gt;0,N66*100/M66,0)</f>
        <v>36.808771929824559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384000</v>
      </c>
      <c r="M68" s="93">
        <f t="shared" ca="1" si="42"/>
        <v>285000</v>
      </c>
      <c r="N68" s="93">
        <f t="shared" ca="1" si="42"/>
        <v>104905</v>
      </c>
      <c r="O68" s="93">
        <f t="shared" ca="1" si="40"/>
        <v>27.319010416666668</v>
      </c>
      <c r="P68" s="93">
        <f t="shared" ca="1" si="41"/>
        <v>36.808771929824559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384000</v>
      </c>
      <c r="M69" s="466">
        <f t="shared" ca="1" si="43"/>
        <v>285000</v>
      </c>
      <c r="N69" s="466">
        <f t="shared" ca="1" si="43"/>
        <v>104905</v>
      </c>
      <c r="O69" s="466">
        <f t="shared" ca="1" si="40"/>
        <v>27.319010416666668</v>
      </c>
      <c r="P69" s="466">
        <f t="shared" ca="1" si="41"/>
        <v>36.808771929824559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IFERROR(__xludf.DUMMYFUNCTION("IMPORTRANGE(""https://docs.google.com/spreadsheets/d/1MeEWN-I1oV_STSDYn1IFDPWt_1FKiwhDph83XaGc0o0/edit?usp=sharing"",""งบพรบ!AG20"")"),384000)</f>
        <v>384000</v>
      </c>
      <c r="M71" s="93">
        <f ca="1">IFERROR(__xludf.DUMMYFUNCTION("IMPORTRANGE(""https://docs.google.com/spreadsheets/d/1MeEWN-I1oV_STSDYn1IFDPWt_1FKiwhDph83XaGc0o0/edit?usp=sharing"",""งบพรบ!AL20"")"),285000)</f>
        <v>285000</v>
      </c>
      <c r="N71" s="93">
        <f ca="1">IFERROR(__xludf.DUMMYFUNCTION("IMPORTRANGE(""https://docs.google.com/spreadsheets/d/1MeEWN-I1oV_STSDYn1IFDPWt_1FKiwhDph83XaGc0o0/edit?usp=sharing"",""งบพรบ!AN20"")"),104905)</f>
        <v>104905</v>
      </c>
      <c r="O71" s="93">
        <f t="shared" ca="1" si="40"/>
        <v>27.319010416666668</v>
      </c>
      <c r="P71" s="93">
        <f t="shared" ca="1" si="41"/>
        <v>36.808771929824559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IFERROR(__xludf.DUMMYFUNCTION("IMPORTRANGE(""https://docs.google.com/spreadsheets/d/1MeEWN-I1oV_STSDYn1IFDPWt_1FKiwhDph83XaGc0o0/edit?usp=sharing"",""งบพรบ!AJ20"")"),0)</f>
        <v>0</v>
      </c>
      <c r="M74" s="93">
        <f ca="1">IFERROR(__xludf.DUMMYFUNCTION("IMPORTRANGE(""https://docs.google.com/spreadsheets/d/1MeEWN-I1oV_STSDYn1IFDPWt_1FKiwhDph83XaGc0o0/edit?usp=sharing"",""งบพรบ!AM20"")"),0)</f>
        <v>0</v>
      </c>
      <c r="N74" s="93">
        <f ca="1">IFERROR(__xludf.DUMMYFUNCTION("IMPORTRANGE(""https://docs.google.com/spreadsheets/d/1MeEWN-I1oV_STSDYn1IFDPWt_1FKiwhDph83XaGc0o0/edit?usp=sharing"",""งบพรบ!AO20"")"),0)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IFERROR(__xludf.DUMMYFUNCTION("IMPORTRANGE(""https://docs.google.com/spreadsheets/d/1QqKyyYR6Q21VydFLVH3TRQUabQu_ym0Zz7PgGX0-kHA/edit?usp=sharing"",""แผน!H20"")"),0)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IFERROR(__xludf.DUMMYFUNCTION("IMPORTRANGE(""https://docs.google.com/spreadsheets/d/1QqKyyYR6Q21VydFLVH3TRQUabQu_ym0Zz7PgGX0-kHA/edit?usp=sharing"",""แผน!I20"")"),0)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IFERROR(__xludf.DUMMYFUNCTION("IMPORTRANGE(""https://docs.google.com/spreadsheets/d/1QqKyyYR6Q21VydFLVH3TRQUabQu_ym0Zz7PgGX0-kHA/edit?usp=sharing"",""แผน!F20"")"),1)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IFERROR(__xludf.DUMMYFUNCTION("IMPORTRANGE(""https://docs.google.com/spreadsheets/d/1QqKyyYR6Q21VydFLVH3TRQUabQu_ym0Zz7PgGX0-kHA/edit?usp=sharing"",""แผน!G20"")"),30)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IFERROR(__xludf.DUMMYFUNCTION("IMPORTRANGE(""https://docs.google.com/spreadsheets/d/1QqKyyYR6Q21VydFLVH3TRQUabQu_ym0Zz7PgGX0-kHA/edit?usp=sharing"",""แผน!D20"")"),0)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IFERROR(__xludf.DUMMYFUNCTION("IMPORTRANGE(""https://docs.google.com/spreadsheets/d/1QqKyyYR6Q21VydFLVH3TRQUabQu_ym0Zz7PgGX0-kHA/edit?usp=sharing"",""แผน!E20"")"),0)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IFERROR(__xludf.DUMMYFUNCTION("IMPORTRANGE(""https://docs.google.com/spreadsheets/d/1QqKyyYR6Q21VydFLVH3TRQUabQu_ym0Zz7PgGX0-kHA/edit?usp=sharing"",""แผน!J20"")"),1)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110880</v>
      </c>
      <c r="M88" s="155">
        <f t="shared" ca="1" si="49"/>
        <v>101180</v>
      </c>
      <c r="N88" s="155">
        <f t="shared" ca="1" si="49"/>
        <v>44654</v>
      </c>
      <c r="O88" s="155">
        <f t="shared" ref="O88:O96" ca="1" si="50">IF(L88&gt;0,N88*100/L88,0)</f>
        <v>40.272366522366525</v>
      </c>
      <c r="P88" s="155">
        <f t="shared" ref="P88:P96" ca="1" si="51">IF(M88&gt;0,N88*100/M88,0)</f>
        <v>44.133227910654277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110880</v>
      </c>
      <c r="M90" s="93">
        <f t="shared" ca="1" si="52"/>
        <v>101180</v>
      </c>
      <c r="N90" s="93">
        <f t="shared" ca="1" si="52"/>
        <v>44654</v>
      </c>
      <c r="O90" s="93">
        <f t="shared" ca="1" si="50"/>
        <v>40.272366522366525</v>
      </c>
      <c r="P90" s="93">
        <f t="shared" ca="1" si="51"/>
        <v>44.133227910654277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110880</v>
      </c>
      <c r="M91" s="466">
        <f t="shared" ca="1" si="53"/>
        <v>101180</v>
      </c>
      <c r="N91" s="466">
        <f t="shared" ca="1" si="53"/>
        <v>44654</v>
      </c>
      <c r="O91" s="466">
        <f t="shared" ca="1" si="50"/>
        <v>40.272366522366525</v>
      </c>
      <c r="P91" s="466">
        <f t="shared" ca="1" si="51"/>
        <v>44.133227910654277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IFERROR(__xludf.DUMMYFUNCTION("IMPORTRANGE(""https://docs.google.com/spreadsheets/d/1MeEWN-I1oV_STSDYn1IFDPWt_1FKiwhDph83XaGc0o0/edit?usp=sharing"",""งบพรบ!AQ20"")"),110880)</f>
        <v>110880</v>
      </c>
      <c r="M93" s="93">
        <f ca="1">IFERROR(__xludf.DUMMYFUNCTION("IMPORTRANGE(""https://docs.google.com/spreadsheets/d/1MeEWN-I1oV_STSDYn1IFDPWt_1FKiwhDph83XaGc0o0/edit?usp=sharing"",""งบพรบ!AV20"")"),101180)</f>
        <v>101180</v>
      </c>
      <c r="N93" s="93">
        <f ca="1">IFERROR(__xludf.DUMMYFUNCTION("IMPORTRANGE(""https://docs.google.com/spreadsheets/d/1MeEWN-I1oV_STSDYn1IFDPWt_1FKiwhDph83XaGc0o0/edit?usp=sharing"",""งบพรบ!AX20"")"),44654)</f>
        <v>44654</v>
      </c>
      <c r="O93" s="93">
        <f t="shared" ca="1" si="50"/>
        <v>40.272366522366525</v>
      </c>
      <c r="P93" s="93">
        <f t="shared" ca="1" si="51"/>
        <v>44.133227910654277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IFERROR(__xludf.DUMMYFUNCTION("IMPORTRANGE(""https://docs.google.com/spreadsheets/d/1MeEWN-I1oV_STSDYn1IFDPWt_1FKiwhDph83XaGc0o0/edit?usp=sharing"",""งบพรบ!AT20"")"),0)</f>
        <v>0</v>
      </c>
      <c r="M96" s="93">
        <f ca="1">IFERROR(__xludf.DUMMYFUNCTION("IMPORTRANGE(""https://docs.google.com/spreadsheets/d/1MeEWN-I1oV_STSDYn1IFDPWt_1FKiwhDph83XaGc0o0/edit?usp=sharing"",""งบพรบ!AW20"")"),0)</f>
        <v>0</v>
      </c>
      <c r="N96" s="93">
        <f ca="1">IFERROR(__xludf.DUMMYFUNCTION("IMPORTRANGE(""https://docs.google.com/spreadsheets/d/1MeEWN-I1oV_STSDYn1IFDPWt_1FKiwhDph83XaGc0o0/edit?usp=sharing"",""งบพรบ!AY20"")"),0)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IFERROR(__xludf.DUMMYFUNCTION("IMPORTRANGE(""https://docs.google.com/spreadsheets/d/1QqKyyYR6Q21VydFLVH3TRQUabQu_ym0Zz7PgGX0-kHA/edit?usp=sharing"",""แผน!K20"")"),60)</f>
        <v>60</v>
      </c>
      <c r="J98" s="270">
        <f>J102</f>
        <v>60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IFERROR(__xludf.DUMMYFUNCTION("IMPORTRANGE(""https://docs.google.com/spreadsheets/d/1QqKyyYR6Q21VydFLVH3TRQUabQu_ym0Zz7PgGX0-kHA/edit?usp=sharing"",""แผน!L20"")"),20)</f>
        <v>20</v>
      </c>
      <c r="J99" s="270">
        <f>J104</f>
        <v>20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IFERROR(__xludf.DUMMYFUNCTION("IMPORTRANGE(""https://docs.google.com/spreadsheets/d/1QqKyyYR6Q21VydFLVH3TRQUabQu_ym0Zz7PgGX0-kHA/edit?usp=sharing"",""แผน!M20"")"),2)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IFERROR(__xludf.DUMMYFUNCTION("IMPORTRANGE(""https://docs.google.com/spreadsheets/d/1QqKyyYR6Q21VydFLVH3TRQUabQu_ym0Zz7PgGX0-kHA/edit?usp=sharing"",""แผน!N20"")"),60)</f>
        <v>60</v>
      </c>
      <c r="J102" s="215">
        <v>60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IFERROR(__xludf.DUMMYFUNCTION("IMPORTRANGE(""https://docs.google.com/spreadsheets/d/1QqKyyYR6Q21VydFLVH3TRQUabQu_ym0Zz7PgGX0-kHA/edit?usp=sharing"",""แผน!O20"")"),20)</f>
        <v>20</v>
      </c>
      <c r="J103" s="215">
        <v>20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IFERROR(__xludf.DUMMYFUNCTION("IMPORTRANGE(""https://docs.google.com/spreadsheets/d/1QqKyyYR6Q21VydFLVH3TRQUabQu_ym0Zz7PgGX0-kHA/edit?usp=sharing"",""แผน!O20"")"),20)</f>
        <v>20</v>
      </c>
      <c r="J104" s="215">
        <v>20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IFERROR(__xludf.DUMMYFUNCTION("IMPORTRANGE(""https://docs.google.com/spreadsheets/d/1QqKyyYR6Q21VydFLVH3TRQUabQu_ym0Zz7PgGX0-kHA/edit?usp=sharing"",""แผน!P20"")"),1)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IFERROR(__xludf.DUMMYFUNCTION("IMPORTRANGE(""https://docs.google.com/spreadsheets/d/1QqKyyYR6Q21VydFLVH3TRQUabQu_ym0Zz7PgGX0-kHA/edit?usp=sharing"",""แผน!P20"")"),1)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IFERROR(__xludf.DUMMYFUNCTION("IMPORTRANGE(""https://docs.google.com/spreadsheets/d/1QqKyyYR6Q21VydFLVH3TRQUabQu_ym0Zz7PgGX0-kHA/edit?usp=sharing"",""แผน!Q20"")"),1)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IFERROR(__xludf.DUMMYFUNCTION("IMPORTRANGE(""https://docs.google.com/spreadsheets/d/1QqKyyYR6Q21VydFLVH3TRQUabQu_ym0Zz7PgGX0-kHA/edit?usp=sharing"",""แผน!Q20"")"),1)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IFERROR(__xludf.DUMMYFUNCTION("IMPORTRANGE(""https://docs.google.com/spreadsheets/d/1QqKyyYR6Q21VydFLVH3TRQUabQu_ym0Zz7PgGX0-kHA/edit?usp=sharing"",""แผน!R20"")"),20)</f>
        <v>20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IFERROR(__xludf.DUMMYFUNCTION("IMPORTRANGE(""https://docs.google.com/spreadsheets/d/1QqKyyYR6Q21VydFLVH3TRQUabQu_ym0Zz7PgGX0-kHA/edit?usp=sharing"",""แผน!R20"")"),20)</f>
        <v>20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IFERROR(__xludf.DUMMYFUNCTION("IMPORTRANGE(""https://docs.google.com/spreadsheets/d/1QqKyyYR6Q21VydFLVH3TRQUabQu_ym0Zz7PgGX0-kHA/edit?usp=sharing"",""แผน!R20"")"),20)</f>
        <v>20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IFERROR(__xludf.DUMMYFUNCTION("IMPORTRANGE(""https://docs.google.com/spreadsheets/d/1QqKyyYR6Q21VydFLVH3TRQUabQu_ym0Zz7PgGX0-kHA/edit?usp=sharing"",""แผน!S20"")"),1)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IFERROR(__xludf.DUMMYFUNCTION("IMPORTRANGE(""https://docs.google.com/spreadsheets/d/1QqKyyYR6Q21VydFLVH3TRQUabQu_ym0Zz7PgGX0-kHA/edit?usp=sharing"",""แผน!T20"")"),1)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IFERROR(__xludf.DUMMYFUNCTION("IMPORTRANGE(""https://docs.google.com/spreadsheets/d/1MeEWN-I1oV_STSDYn1IFDPWt_1FKiwhDph83XaGc0o0/edit?usp=sharing"",""งบพรบ!BA20"")"),0)</f>
        <v>0</v>
      </c>
      <c r="M124" s="93">
        <f ca="1">IFERROR(__xludf.DUMMYFUNCTION("IMPORTRANGE(""https://docs.google.com/spreadsheets/d/1MeEWN-I1oV_STSDYn1IFDPWt_1FKiwhDph83XaGc0o0/edit?usp=sharing"",""งบพรบ!BF20"")"),0)</f>
        <v>0</v>
      </c>
      <c r="N124" s="93">
        <f ca="1">IFERROR(__xludf.DUMMYFUNCTION("IMPORTRANGE(""https://docs.google.com/spreadsheets/d/1MeEWN-I1oV_STSDYn1IFDPWt_1FKiwhDph83XaGc0o0/edit?usp=sharing"",""งบพรบ!BH20"")"),0)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IFERROR(__xludf.DUMMYFUNCTION("IMPORTRANGE(""https://docs.google.com/spreadsheets/d/1MeEWN-I1oV_STSDYn1IFDPWt_1FKiwhDph83XaGc0o0/edit?usp=sharing"",""งบพรบ!BD20"")"),0)</f>
        <v>0</v>
      </c>
      <c r="M127" s="93">
        <f ca="1">IFERROR(__xludf.DUMMYFUNCTION("IMPORTRANGE(""https://docs.google.com/spreadsheets/d/1MeEWN-I1oV_STSDYn1IFDPWt_1FKiwhDph83XaGc0o0/edit?usp=sharing"",""งบพรบ!BG20"")"),0)</f>
        <v>0</v>
      </c>
      <c r="N127" s="93">
        <f ca="1">IFERROR(__xludf.DUMMYFUNCTION("IMPORTRANGE(""https://docs.google.com/spreadsheets/d/1MeEWN-I1oV_STSDYn1IFDPWt_1FKiwhDph83XaGc0o0/edit?usp=sharing"",""งบพรบ!BI20"")"),0)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IFERROR(__xludf.DUMMYFUNCTION("IMPORTRANGE(""https://docs.google.com/spreadsheets/d/1MeEWN-I1oV_STSDYn1IFDPWt_1FKiwhDph83XaGc0o0/edit?usp=sharing"",""งบพรบ!BK20"")"),0)</f>
        <v>0</v>
      </c>
      <c r="M137" s="93">
        <f ca="1">IFERROR(__xludf.DUMMYFUNCTION("IMPORTRANGE(""https://docs.google.com/spreadsheets/d/1MeEWN-I1oV_STSDYn1IFDPWt_1FKiwhDph83XaGc0o0/edit?usp=sharing"",""งบพรบ!BP20"")"),0)</f>
        <v>0</v>
      </c>
      <c r="N137" s="93">
        <f ca="1">IFERROR(__xludf.DUMMYFUNCTION("IMPORTRANGE(""https://docs.google.com/spreadsheets/d/1MeEWN-I1oV_STSDYn1IFDPWt_1FKiwhDph83XaGc0o0/edit?usp=sharing"",""งบพรบ!BR20"")"),0)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IFERROR(__xludf.DUMMYFUNCTION("IMPORTRANGE(""https://docs.google.com/spreadsheets/d/1MeEWN-I1oV_STSDYn1IFDPWt_1FKiwhDph83XaGc0o0/edit?usp=sharing"",""งบพรบ!BN20"")"),0)</f>
        <v>0</v>
      </c>
      <c r="M140" s="93">
        <f ca="1">IFERROR(__xludf.DUMMYFUNCTION("IMPORTRANGE(""https://docs.google.com/spreadsheets/d/1MeEWN-I1oV_STSDYn1IFDPWt_1FKiwhDph83XaGc0o0/edit?usp=sharing"",""งบพรบ!BQ20"")"),0)</f>
        <v>0</v>
      </c>
      <c r="N140" s="93">
        <f ca="1">IFERROR(__xludf.DUMMYFUNCTION("IMPORTRANGE(""https://docs.google.com/spreadsheets/d/1MeEWN-I1oV_STSDYn1IFDPWt_1FKiwhDph83XaGc0o0/edit?usp=sharing"",""งบพรบ!BS20"")"),0)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IFERROR(__xludf.DUMMYFUNCTION("IMPORTRANGE(""https://docs.google.com/spreadsheets/d/1QqKyyYR6Q21VydFLVH3TRQUabQu_ym0Zz7PgGX0-kHA/edit?usp=sharing"",""แผน!U20"")"),0)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IFERROR(__xludf.DUMMYFUNCTION("IMPORTRANGE(""https://docs.google.com/spreadsheets/d/1QqKyyYR6Q21VydFLVH3TRQUabQu_ym0Zz7PgGX0-kHA/edit?usp=sharing"",""แผน!V20"")"),0)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IFERROR(__xludf.DUMMYFUNCTION("IMPORTRANGE(""https://docs.google.com/spreadsheets/d/1QqKyyYR6Q21VydFLVH3TRQUabQu_ym0Zz7PgGX0-kHA/edit?usp=sharing"",""แผน!W20"")"),0)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12080</v>
      </c>
      <c r="N149" s="155">
        <f t="shared" ca="1" si="77"/>
        <v>2440</v>
      </c>
      <c r="O149" s="155">
        <f t="shared" ref="O149:O157" ca="1" si="78">IF(L149&gt;0,N149*100/L149,0)</f>
        <v>24.4</v>
      </c>
      <c r="P149" s="155">
        <f t="shared" ref="P149:P157" ca="1" si="79">IF(M149&gt;0,N149*100/M149,0)</f>
        <v>20.198675496688743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10000</v>
      </c>
      <c r="M151" s="93">
        <f t="shared" ca="1" si="80"/>
        <v>12080</v>
      </c>
      <c r="N151" s="93">
        <f t="shared" ca="1" si="80"/>
        <v>2440</v>
      </c>
      <c r="O151" s="93">
        <f t="shared" ca="1" si="78"/>
        <v>24.4</v>
      </c>
      <c r="P151" s="93">
        <f t="shared" ca="1" si="79"/>
        <v>20.198675496688743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12080</v>
      </c>
      <c r="N152" s="466">
        <f t="shared" ca="1" si="81"/>
        <v>2440</v>
      </c>
      <c r="O152" s="466">
        <f t="shared" ca="1" si="78"/>
        <v>24.4</v>
      </c>
      <c r="P152" s="466">
        <f t="shared" ca="1" si="79"/>
        <v>20.198675496688743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IFERROR(__xludf.DUMMYFUNCTION("IMPORTRANGE(""https://docs.google.com/spreadsheets/d/1MeEWN-I1oV_STSDYn1IFDPWt_1FKiwhDph83XaGc0o0/edit?usp=sharing"",""งบพรบ!BU20"")"),10000)</f>
        <v>10000</v>
      </c>
      <c r="M154" s="93">
        <f ca="1">IFERROR(__xludf.DUMMYFUNCTION("IMPORTRANGE(""https://docs.google.com/spreadsheets/d/1MeEWN-I1oV_STSDYn1IFDPWt_1FKiwhDph83XaGc0o0/edit?usp=sharing"",""งบพรบ!BZ20"")"),12080)</f>
        <v>12080</v>
      </c>
      <c r="N154" s="93">
        <f ca="1">IFERROR(__xludf.DUMMYFUNCTION("IMPORTRANGE(""https://docs.google.com/spreadsheets/d/1MeEWN-I1oV_STSDYn1IFDPWt_1FKiwhDph83XaGc0o0/edit?usp=sharing"",""งบพรบ!CB20"")"),2440)</f>
        <v>2440</v>
      </c>
      <c r="O154" s="93">
        <f t="shared" ca="1" si="78"/>
        <v>24.4</v>
      </c>
      <c r="P154" s="93">
        <f t="shared" ca="1" si="79"/>
        <v>20.198675496688743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IFERROR(__xludf.DUMMYFUNCTION("IMPORTRANGE(""https://docs.google.com/spreadsheets/d/1MeEWN-I1oV_STSDYn1IFDPWt_1FKiwhDph83XaGc0o0/edit?usp=sharing"",""งบพรบ!BX20"")"),0)</f>
        <v>0</v>
      </c>
      <c r="M157" s="93">
        <f ca="1">IFERROR(__xludf.DUMMYFUNCTION("IMPORTRANGE(""https://docs.google.com/spreadsheets/d/1MeEWN-I1oV_STSDYn1IFDPWt_1FKiwhDph83XaGc0o0/edit?usp=sharing"",""งบพรบ!CA20"")"),0)</f>
        <v>0</v>
      </c>
      <c r="N157" s="93">
        <f ca="1">IFERROR(__xludf.DUMMYFUNCTION("IMPORTRANGE(""https://docs.google.com/spreadsheets/d/1MeEWN-I1oV_STSDYn1IFDPWt_1FKiwhDph83XaGc0o0/edit?usp=sharing"",""งบพรบ!CC20"")"),0)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IFERROR(__xludf.DUMMYFUNCTION("IMPORTRANGE(""https://docs.google.com/spreadsheets/d/1QqKyyYR6Q21VydFLVH3TRQUabQu_ym0Zz7PgGX0-kHA/edit?usp=sharing"",""แผน!X20"")"),20)</f>
        <v>20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43620</v>
      </c>
      <c r="N165" s="155">
        <f t="shared" ca="1" si="84"/>
        <v>23560</v>
      </c>
      <c r="O165" s="155">
        <f t="shared" ref="O165:O173" ca="1" si="85">IF(L165&gt;0,N165*100/L165,0)</f>
        <v>102.16825672159584</v>
      </c>
      <c r="P165" s="155">
        <f t="shared" ref="P165:P173" ca="1" si="86">IF(M165&gt;0,N165*100/M165,0)</f>
        <v>54.011921137093076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23060</v>
      </c>
      <c r="M167" s="93">
        <f t="shared" ca="1" si="87"/>
        <v>43620</v>
      </c>
      <c r="N167" s="93">
        <f t="shared" ca="1" si="87"/>
        <v>23560</v>
      </c>
      <c r="O167" s="93">
        <f t="shared" ca="1" si="85"/>
        <v>102.16825672159584</v>
      </c>
      <c r="P167" s="93">
        <f t="shared" ca="1" si="86"/>
        <v>54.011921137093076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43620</v>
      </c>
      <c r="N168" s="466">
        <f t="shared" ca="1" si="88"/>
        <v>23560</v>
      </c>
      <c r="O168" s="466">
        <f t="shared" ca="1" si="85"/>
        <v>102.16825672159584</v>
      </c>
      <c r="P168" s="466">
        <f t="shared" ca="1" si="86"/>
        <v>54.011921137093076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IFERROR(__xludf.DUMMYFUNCTION("IMPORTRANGE(""https://docs.google.com/spreadsheets/d/1MeEWN-I1oV_STSDYn1IFDPWt_1FKiwhDph83XaGc0o0/edit?usp=sharing"",""งบพรบ!CE20"")"),23060)</f>
        <v>23060</v>
      </c>
      <c r="M170" s="93">
        <f ca="1">IFERROR(__xludf.DUMMYFUNCTION("IMPORTRANGE(""https://docs.google.com/spreadsheets/d/1MeEWN-I1oV_STSDYn1IFDPWt_1FKiwhDph83XaGc0o0/edit?usp=sharing"",""งบพรบ!CJ20"")"),43620)</f>
        <v>43620</v>
      </c>
      <c r="N170" s="93">
        <f ca="1">IFERROR(__xludf.DUMMYFUNCTION("IMPORTRANGE(""https://docs.google.com/spreadsheets/d/1MeEWN-I1oV_STSDYn1IFDPWt_1FKiwhDph83XaGc0o0/edit?usp=sharing"",""งบพรบ!CL20"")"),23560)</f>
        <v>23560</v>
      </c>
      <c r="O170" s="93">
        <f t="shared" ca="1" si="85"/>
        <v>102.16825672159584</v>
      </c>
      <c r="P170" s="93">
        <f t="shared" ca="1" si="86"/>
        <v>54.011921137093076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IFERROR(__xludf.DUMMYFUNCTION("IMPORTRANGE(""https://docs.google.com/spreadsheets/d/1MeEWN-I1oV_STSDYn1IFDPWt_1FKiwhDph83XaGc0o0/edit?usp=sharing"",""งบพรบ!CH20"")"),0)</f>
        <v>0</v>
      </c>
      <c r="M173" s="93">
        <f ca="1">IFERROR(__xludf.DUMMYFUNCTION("IMPORTRANGE(""https://docs.google.com/spreadsheets/d/1MeEWN-I1oV_STSDYn1IFDPWt_1FKiwhDph83XaGc0o0/edit?usp=sharing"",""งบพรบ!CK20"")"),0)</f>
        <v>0</v>
      </c>
      <c r="N173" s="93">
        <f ca="1">IFERROR(__xludf.DUMMYFUNCTION("IMPORTRANGE(""https://docs.google.com/spreadsheets/d/1MeEWN-I1oV_STSDYn1IFDPWt_1FKiwhDph83XaGc0o0/edit?usp=sharing"",""งบพรบ!CM20"")"),0)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IFERROR(__xludf.DUMMYFUNCTION("IMPORTRANGE(""https://docs.google.com/spreadsheets/d/1QqKyyYR6Q21VydFLVH3TRQUabQu_ym0Zz7PgGX0-kHA/edit?usp=sharing"",""แผน!Y20"")"),12)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50</v>
      </c>
      <c r="J180" s="253">
        <f t="shared" si="91"/>
        <v>50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723180</v>
      </c>
      <c r="M181" s="155">
        <f t="shared" ca="1" si="92"/>
        <v>593780</v>
      </c>
      <c r="N181" s="155">
        <f t="shared" ca="1" si="92"/>
        <v>339902.09</v>
      </c>
      <c r="O181" s="155">
        <f t="shared" ref="O181:O189" ca="1" si="93">IF(L181&gt;0,N181*100/L181,0)</f>
        <v>47.001035703421003</v>
      </c>
      <c r="P181" s="155">
        <f t="shared" ref="P181:P189" ca="1" si="94">IF(M181&gt;0,N181*100/M181,0)</f>
        <v>57.243775472397182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723180</v>
      </c>
      <c r="M183" s="93">
        <f t="shared" ca="1" si="95"/>
        <v>593780</v>
      </c>
      <c r="N183" s="93">
        <f t="shared" ca="1" si="95"/>
        <v>339902.09</v>
      </c>
      <c r="O183" s="93">
        <f t="shared" ca="1" si="93"/>
        <v>47.001035703421003</v>
      </c>
      <c r="P183" s="93">
        <f t="shared" ca="1" si="94"/>
        <v>57.243775472397182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6">L185+L186</f>
        <v>723180</v>
      </c>
      <c r="M184" s="466">
        <f t="shared" ca="1" si="96"/>
        <v>593780</v>
      </c>
      <c r="N184" s="466">
        <f t="shared" ca="1" si="96"/>
        <v>339902.09</v>
      </c>
      <c r="O184" s="466">
        <f t="shared" ca="1" si="93"/>
        <v>47.001035703421003</v>
      </c>
      <c r="P184" s="466">
        <f t="shared" ca="1" si="94"/>
        <v>57.243775472397182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IFERROR(__xludf.DUMMYFUNCTION("IMPORTRANGE(""https://docs.google.com/spreadsheets/d/1MeEWN-I1oV_STSDYn1IFDPWt_1FKiwhDph83XaGc0o0/edit?usp=sharing"",""งบพรบ!CO20"")"),723180)</f>
        <v>723180</v>
      </c>
      <c r="M186" s="93">
        <f ca="1">IFERROR(__xludf.DUMMYFUNCTION("IMPORTRANGE(""https://docs.google.com/spreadsheets/d/1MeEWN-I1oV_STSDYn1IFDPWt_1FKiwhDph83XaGc0o0/edit?usp=sharing"",""งบพรบ!CT20"")"),593780)</f>
        <v>593780</v>
      </c>
      <c r="N186" s="93">
        <f ca="1">IFERROR(__xludf.DUMMYFUNCTION("IMPORTRANGE(""https://docs.google.com/spreadsheets/d/1MeEWN-I1oV_STSDYn1IFDPWt_1FKiwhDph83XaGc0o0/edit?usp=sharing"",""งบพรบ!CV20"")"),339902.09)</f>
        <v>339902.09</v>
      </c>
      <c r="O186" s="93">
        <f t="shared" ca="1" si="93"/>
        <v>47.001035703421003</v>
      </c>
      <c r="P186" s="93">
        <f t="shared" ca="1" si="94"/>
        <v>57.243775472397182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IFERROR(__xludf.DUMMYFUNCTION("IMPORTRANGE(""https://docs.google.com/spreadsheets/d/1MeEWN-I1oV_STSDYn1IFDPWt_1FKiwhDph83XaGc0o0/edit?usp=sharing"",""งบพรบ!CR20"")"),0)</f>
        <v>0</v>
      </c>
      <c r="M189" s="93">
        <f ca="1">IFERROR(__xludf.DUMMYFUNCTION("IMPORTRANGE(""https://docs.google.com/spreadsheets/d/1MeEWN-I1oV_STSDYn1IFDPWt_1FKiwhDph83XaGc0o0/edit?usp=sharing"",""งบพรบ!CU20"")"),0)</f>
        <v>0</v>
      </c>
      <c r="N189" s="93">
        <f ca="1">IFERROR(__xludf.DUMMYFUNCTION("IMPORTRANGE(""https://docs.google.com/spreadsheets/d/1MeEWN-I1oV_STSDYn1IFDPWt_1FKiwhDph83XaGc0o0/edit?usp=sharing"",""งบพรบ!CW20"")"),0)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IFERROR(__xludf.DUMMYFUNCTION("IMPORTRANGE(""https://docs.google.com/spreadsheets/d/1QqKyyYR6Q21VydFLVH3TRQUabQu_ym0Zz7PgGX0-kHA/edit?usp=sharing"",""แผน!Z20"")"),6000)</f>
        <v>6000</v>
      </c>
      <c r="M191" s="155"/>
      <c r="N191" s="276">
        <v>1600</v>
      </c>
      <c r="O191" s="155">
        <f ca="1">IF(L191&gt;0,N191*100/L191,0)</f>
        <v>26.666666666666668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IFERROR(__xludf.DUMMYFUNCTION("IMPORTRANGE(""https://docs.google.com/spreadsheets/d/1QqKyyYR6Q21VydFLVH3TRQUabQu_ym0Zz7PgGX0-kHA/edit?usp=sharing"",""แผน!AC20"")"),4)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15840</v>
      </c>
      <c r="O198" s="155">
        <f ca="1">IF(L198&gt;0,N198*100/L198,0)</f>
        <v>60.92307692307692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IFERROR(__xludf.DUMMYFUNCTION("IMPORTRANGE(""https://docs.google.com/spreadsheets/d/1QqKyyYR6Q21VydFLVH3TRQUabQu_ym0Zz7PgGX0-kHA/edit?usp=sharing"",""แผน!AE20"")"),2000)</f>
        <v>2000</v>
      </c>
      <c r="M199" s="466"/>
      <c r="N199" s="801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IFERROR(__xludf.DUMMYFUNCTION("IMPORTRANGE(""https://docs.google.com/spreadsheets/d/1QqKyyYR6Q21VydFLVH3TRQUabQu_ym0Zz7PgGX0-kHA/edit?usp=sharing"",""แผน!AF20"")"),16000)</f>
        <v>16000</v>
      </c>
      <c r="M200" s="466"/>
      <c r="N200" s="801">
        <v>15840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IFERROR(__xludf.DUMMYFUNCTION("IMPORTRANGE(""https://docs.google.com/spreadsheets/d/1QqKyyYR6Q21VydFLVH3TRQUabQu_ym0Zz7PgGX0-kHA/edit?usp=sharing"",""แผน!AG20"")"),8000)</f>
        <v>8000</v>
      </c>
      <c r="M201" s="466"/>
      <c r="N201" s="801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IFERROR(__xludf.DUMMYFUNCTION("IMPORTRANGE(""https://docs.google.com/spreadsheets/d/1QqKyyYR6Q21VydFLVH3TRQUabQu_ym0Zz7PgGX0-kHA/edit?usp=sharing"",""แผน!AH20"")"),0)</f>
        <v>0</v>
      </c>
      <c r="M202" s="466"/>
      <c r="N202" s="801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IFERROR(__xludf.DUMMYFUNCTION("IMPORTRANGE(""https://docs.google.com/spreadsheets/d/1QqKyyYR6Q21VydFLVH3TRQUabQu_ym0Zz7PgGX0-kHA/edit?usp=sharing"",""แผน!AI20"")"),2)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IFERROR(__xludf.DUMMYFUNCTION("IMPORTRANGE(""https://docs.google.com/spreadsheets/d/1QqKyyYR6Q21VydFLVH3TRQUabQu_ym0Zz7PgGX0-kHA/edit?usp=sharing"",""แผน!AK20"")"),0)</f>
        <v>0</v>
      </c>
      <c r="M210" s="466"/>
      <c r="N210" s="801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IFERROR(__xludf.DUMMYFUNCTION("IMPORTRANGE(""https://docs.google.com/spreadsheets/d/1QqKyyYR6Q21VydFLVH3TRQUabQu_ym0Zz7PgGX0-kHA/edit?usp=sharing"",""แผน!AL20"")"),0)</f>
        <v>0</v>
      </c>
      <c r="M211" s="466"/>
      <c r="N211" s="801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IFERROR(__xludf.DUMMYFUNCTION("IMPORTRANGE(""https://docs.google.com/spreadsheets/d/1QqKyyYR6Q21VydFLVH3TRQUabQu_ym0Zz7PgGX0-kHA/edit?usp=sharing"",""แผน!AM20"")"),0)</f>
        <v>0</v>
      </c>
      <c r="M212" s="466"/>
      <c r="N212" s="801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IFERROR(__xludf.DUMMYFUNCTION("IMPORTRANGE(""https://docs.google.com/spreadsheets/d/1QqKyyYR6Q21VydFLVH3TRQUabQu_ym0Zz7PgGX0-kHA/edit?usp=sharing"",""แผน!AN20"")"),0)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IFERROR(__xludf.DUMMYFUNCTION("IMPORTRANGE(""https://docs.google.com/spreadsheets/d/1QqKyyYR6Q21VydFLVH3TRQUabQu_ym0Zz7PgGX0-kHA/edit?usp=sharing"",""แผน!AN20"")"),0)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18000</v>
      </c>
      <c r="M217" s="155"/>
      <c r="N217" s="155">
        <f>N218+N219+N220</f>
        <v>10960</v>
      </c>
      <c r="O217" s="155">
        <f ca="1">IF(L217&gt;0,N217*100/L217,0)</f>
        <v>60.888888888888886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IFERROR(__xludf.DUMMYFUNCTION("IMPORTRANGE(""https://docs.google.com/spreadsheets/d/1QqKyyYR6Q21VydFLVH3TRQUabQu_ym0Zz7PgGX0-kHA/edit?usp=sharing"",""แผน!AP20"")"),3000)</f>
        <v>3000</v>
      </c>
      <c r="M218" s="466"/>
      <c r="N218" s="801">
        <v>1620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IFERROR(__xludf.DUMMYFUNCTION("IMPORTRANGE(""https://docs.google.com/spreadsheets/d/1QqKyyYR6Q21VydFLVH3TRQUabQu_ym0Zz7PgGX0-kHA/edit?usp=sharing"",""แผน!AQ20"")"),5000)</f>
        <v>5000</v>
      </c>
      <c r="M219" s="466"/>
      <c r="N219" s="801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IFERROR(__xludf.DUMMYFUNCTION("IMPORTRANGE(""https://docs.google.com/spreadsheets/d/1QqKyyYR6Q21VydFLVH3TRQUabQu_ym0Zz7PgGX0-kHA/edit?usp=sharing"",""แผน!AR20"")"),10000)</f>
        <v>10000</v>
      </c>
      <c r="M220" s="466"/>
      <c r="N220" s="801">
        <v>9340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IFERROR(__xludf.DUMMYFUNCTION("IMPORTRANGE(""https://docs.google.com/spreadsheets/d/1QqKyyYR6Q21VydFLVH3TRQUabQu_ym0Zz7PgGX0-kHA/edit?usp=sharing"",""แผน!AT20"")"),20000)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IFERROR(__xludf.DUMMYFUNCTION("IMPORTRANGE(""https://docs.google.com/spreadsheets/d/1QqKyyYR6Q21VydFLVH3TRQUabQu_ym0Zz7PgGX0-kHA/edit?usp=sharing"",""แผน!AT20"")"),20000)</f>
        <v>20000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IFERROR(__xludf.DUMMYFUNCTION("IMPORTRANGE(""https://docs.google.com/spreadsheets/d/1QqKyyYR6Q21VydFLVH3TRQUabQu_ym0Zz7PgGX0-kHA/edit?usp=sharing"",""แผน!AS20"")"),10)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5">I237+I248</f>
        <v>40</v>
      </c>
      <c r="J226" s="821">
        <f t="shared" si="105"/>
        <v>40</v>
      </c>
      <c r="K226" s="822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6">L238+L249</f>
        <v>389580</v>
      </c>
      <c r="M227" s="831"/>
      <c r="N227" s="831">
        <f t="shared" ref="N227:N231" si="107">N238+N249</f>
        <v>149665</v>
      </c>
      <c r="O227" s="832"/>
      <c r="P227" s="83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48875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166580</v>
      </c>
      <c r="M229" s="93"/>
      <c r="N229" s="93">
        <f t="shared" si="107"/>
        <v>100790</v>
      </c>
      <c r="O229" s="93"/>
      <c r="P229" s="93"/>
      <c r="Q229" s="835"/>
      <c r="R229" s="835"/>
      <c r="S229" s="835"/>
      <c r="T229" s="835"/>
      <c r="U229" s="835"/>
      <c r="V229" s="835"/>
      <c r="W229" s="835"/>
      <c r="X229" s="835"/>
      <c r="Y229" s="835"/>
      <c r="Z229" s="835"/>
    </row>
    <row r="230" spans="1:2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835"/>
      <c r="R230" s="835"/>
      <c r="S230" s="835"/>
      <c r="T230" s="835"/>
      <c r="U230" s="835"/>
      <c r="V230" s="835"/>
      <c r="W230" s="835"/>
      <c r="X230" s="835"/>
      <c r="Y230" s="835"/>
      <c r="Z230" s="835"/>
    </row>
    <row r="231" spans="1:2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40000</v>
      </c>
      <c r="M231" s="93"/>
      <c r="N231" s="93">
        <f t="shared" si="107"/>
        <v>0</v>
      </c>
      <c r="O231" s="93"/>
      <c r="P231" s="93"/>
      <c r="Q231" s="835"/>
      <c r="R231" s="835"/>
      <c r="S231" s="835"/>
      <c r="T231" s="835"/>
      <c r="U231" s="835"/>
      <c r="V231" s="835"/>
      <c r="W231" s="835"/>
      <c r="X231" s="835"/>
      <c r="Y231" s="835"/>
      <c r="Z231" s="835"/>
    </row>
    <row r="232" spans="1:2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8">I244+I255</f>
        <v>40</v>
      </c>
      <c r="J233" s="584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09">I246+I257</f>
        <v>40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09"/>
        <v>1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389580</v>
      </c>
      <c r="M238" s="155"/>
      <c r="N238" s="155">
        <f>N239+N240+N241+N242</f>
        <v>149665</v>
      </c>
      <c r="O238" s="155">
        <f ca="1">IF(L238&gt;0,N238*100/L238,0)</f>
        <v>38.417013193695773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IFERROR(__xludf.DUMMYFUNCTION("IMPORTRANGE(""https://docs.google.com/spreadsheets/d/1QqKyyYR6Q21VydFLVH3TRQUabQu_ym0Zz7PgGX0-kHA/edit?usp=sharing"",""แผน!AV20"")"),163000)</f>
        <v>163000</v>
      </c>
      <c r="M239" s="322"/>
      <c r="N239" s="341">
        <v>48875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IFERROR(__xludf.DUMMYFUNCTION("IMPORTRANGE(""https://docs.google.com/spreadsheets/d/1QqKyyYR6Q21VydFLVH3TRQUabQu_ym0Zz7PgGX0-kHA/edit?usp=sharing"",""แผน!AW20"")"),166580)</f>
        <v>166580</v>
      </c>
      <c r="M240" s="322"/>
      <c r="N240" s="341">
        <v>100790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IFERROR(__xludf.DUMMYFUNCTION("IMPORTRANGE(""https://docs.google.com/spreadsheets/d/1QqKyyYR6Q21VydFLVH3TRQUabQu_ym0Zz7PgGX0-kHA/edit?usp=sharing"",""แผน!AX20"")"),20000)</f>
        <v>20000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IFERROR(__xludf.DUMMYFUNCTION("IMPORTRANGE(""https://docs.google.com/spreadsheets/d/1QqKyyYR6Q21VydFLVH3TRQUabQu_ym0Zz7PgGX0-kHA/edit?usp=sharing"",""แผน!AY20"")"),40000)</f>
        <v>40000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IFERROR(__xludf.DUMMYFUNCTION("IMPORTRANGE(""https://docs.google.com/spreadsheets/d/1QqKyyYR6Q21VydFLVH3TRQUabQu_ym0Zz7PgGX0-kHA/edit?usp=sharing"",""แผน!BE20"")"),40)</f>
        <v>40</v>
      </c>
      <c r="J244" s="215">
        <v>40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>
        <v>40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>
        <v>1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IFERROR(__xludf.DUMMYFUNCTION("IMPORTRANGE(""https://docs.google.com/spreadsheets/d/1QqKyyYR6Q21VydFLVH3TRQUabQu_ym0Zz7PgGX0-kHA/edit?usp=sharing"",""แผน!AZ20"")"),0)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IFERROR(__xludf.DUMMYFUNCTION("IMPORTRANGE(""https://docs.google.com/spreadsheets/d/1QqKyyYR6Q21VydFLVH3TRQUabQu_ym0Zz7PgGX0-kHA/edit?usp=sharing"",""แผน!BA20"")"),0)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IFERROR(__xludf.DUMMYFUNCTION("IMPORTRANGE(""https://docs.google.com/spreadsheets/d/1QqKyyYR6Q21VydFLVH3TRQUabQu_ym0Zz7PgGX0-kHA/edit?usp=sharing"",""แผน!BB20"")"),0)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IFERROR(__xludf.DUMMYFUNCTION("IMPORTRANGE(""https://docs.google.com/spreadsheets/d/1QqKyyYR6Q21VydFLVH3TRQUabQu_ym0Zz7PgGX0-kHA/edit?usp=sharing"",""แผน!BC20"")"),0)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IFERROR(__xludf.DUMMYFUNCTION("IMPORTRANGE(""https://docs.google.com/spreadsheets/d/1QqKyyYR6Q21VydFLVH3TRQUabQu_ym0Zz7PgGX0-kHA/edit?usp=sharing"",""แผน!BF20"")"),0)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18470</v>
      </c>
      <c r="O261" s="155">
        <f t="shared" ref="O261:O269" ca="1" si="117">IF(L261&gt;0,N261*100/L261,0)</f>
        <v>68.661710037174714</v>
      </c>
      <c r="P261" s="155">
        <f t="shared" ref="P261:P269" ca="1" si="118">IF(M261&gt;0,N261*100/M261,0)</f>
        <v>77.280334728033466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18470</v>
      </c>
      <c r="O263" s="93">
        <f t="shared" ca="1" si="117"/>
        <v>68.661710037174714</v>
      </c>
      <c r="P263" s="93">
        <f t="shared" ca="1" si="118"/>
        <v>77.280334728033466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18470</v>
      </c>
      <c r="O264" s="466">
        <f t="shared" ca="1" si="117"/>
        <v>68.661710037174714</v>
      </c>
      <c r="P264" s="466">
        <f t="shared" ca="1" si="118"/>
        <v>77.280334728033466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IFERROR(__xludf.DUMMYFUNCTION("IMPORTRANGE(""https://docs.google.com/spreadsheets/d/1MeEWN-I1oV_STSDYn1IFDPWt_1FKiwhDph83XaGc0o0/edit?usp=sharing"",""งบพรบ!CY20"")"),26900)</f>
        <v>26900</v>
      </c>
      <c r="M266" s="93">
        <f ca="1">IFERROR(__xludf.DUMMYFUNCTION("IMPORTRANGE(""https://docs.google.com/spreadsheets/d/1MeEWN-I1oV_STSDYn1IFDPWt_1FKiwhDph83XaGc0o0/edit?usp=sharing"",""งบพรบ!DD20"")"),23900)</f>
        <v>23900</v>
      </c>
      <c r="N266" s="93">
        <f ca="1">IFERROR(__xludf.DUMMYFUNCTION("IMPORTRANGE(""https://docs.google.com/spreadsheets/d/1MeEWN-I1oV_STSDYn1IFDPWt_1FKiwhDph83XaGc0o0/edit?usp=sharing"",""งบพรบ!DF20"")"),18470)</f>
        <v>18470</v>
      </c>
      <c r="O266" s="93">
        <f t="shared" ca="1" si="117"/>
        <v>68.661710037174714</v>
      </c>
      <c r="P266" s="93">
        <f t="shared" ca="1" si="118"/>
        <v>77.280334728033466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IFERROR(__xludf.DUMMYFUNCTION("IMPORTRANGE(""https://docs.google.com/spreadsheets/d/1MeEWN-I1oV_STSDYn1IFDPWt_1FKiwhDph83XaGc0o0/edit?usp=sharing"",""งบพรบ!DB20"")"),0)</f>
        <v>0</v>
      </c>
      <c r="M269" s="93">
        <f ca="1">IFERROR(__xludf.DUMMYFUNCTION("IMPORTRANGE(""https://docs.google.com/spreadsheets/d/1MeEWN-I1oV_STSDYn1IFDPWt_1FKiwhDph83XaGc0o0/edit?usp=sharing"",""งบพรบ!DE20"")"),0)</f>
        <v>0</v>
      </c>
      <c r="N269" s="93">
        <f ca="1">IFERROR(__xludf.DUMMYFUNCTION("IMPORTRANGE(""https://docs.google.com/spreadsheets/d/1MeEWN-I1oV_STSDYn1IFDPWt_1FKiwhDph83XaGc0o0/edit?usp=sharing"",""งบพรบ!DG20"")"),0)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62">
        <f t="shared" ref="I276:J276" ca="1" si="124">I287</f>
        <v>100</v>
      </c>
      <c r="J276" s="862">
        <f t="shared" si="124"/>
        <v>113</v>
      </c>
      <c r="K276" s="377">
        <f t="shared" ca="1" si="123"/>
        <v>113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4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12880</v>
      </c>
      <c r="O277" s="155">
        <f t="shared" ref="O277:O285" ca="1" si="126">IF(L277&gt;0,N277*100/L277,0)</f>
        <v>31.40697390880273</v>
      </c>
      <c r="P277" s="155">
        <f t="shared" ref="P277:P285" ca="1" si="127">IF(M277&gt;0,N277*100/M277,0)</f>
        <v>58.678815489749432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12880</v>
      </c>
      <c r="O279" s="93">
        <f t="shared" ca="1" si="126"/>
        <v>31.40697390880273</v>
      </c>
      <c r="P279" s="93">
        <f t="shared" ca="1" si="127"/>
        <v>58.678815489749432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29">L281+L282</f>
        <v>41010</v>
      </c>
      <c r="M280" s="466">
        <f t="shared" ca="1" si="129"/>
        <v>21950</v>
      </c>
      <c r="N280" s="466">
        <f t="shared" ca="1" si="129"/>
        <v>12880</v>
      </c>
      <c r="O280" s="466">
        <f t="shared" ca="1" si="126"/>
        <v>31.40697390880273</v>
      </c>
      <c r="P280" s="466">
        <f t="shared" ca="1" si="127"/>
        <v>58.678815489749432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IFERROR(__xludf.DUMMYFUNCTION("IMPORTRANGE(""https://docs.google.com/spreadsheets/d/1MeEWN-I1oV_STSDYn1IFDPWt_1FKiwhDph83XaGc0o0/edit?usp=sharing"",""งบพรบ!DI20"")"),41010)</f>
        <v>41010</v>
      </c>
      <c r="M282" s="93">
        <f ca="1">IFERROR(__xludf.DUMMYFUNCTION("IMPORTRANGE(""https://docs.google.com/spreadsheets/d/1MeEWN-I1oV_STSDYn1IFDPWt_1FKiwhDph83XaGc0o0/edit?usp=sharing"",""งบพรบ!DN20"")"),21950)</f>
        <v>21950</v>
      </c>
      <c r="N282" s="93">
        <f ca="1">IFERROR(__xludf.DUMMYFUNCTION("IMPORTRANGE(""https://docs.google.com/spreadsheets/d/1MeEWN-I1oV_STSDYn1IFDPWt_1FKiwhDph83XaGc0o0/edit?usp=sharing"",""งบพรบ!DP20"")"),12880)</f>
        <v>12880</v>
      </c>
      <c r="O282" s="93">
        <f t="shared" ca="1" si="126"/>
        <v>31.40697390880273</v>
      </c>
      <c r="P282" s="93">
        <f t="shared" ca="1" si="127"/>
        <v>58.678815489749432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IFERROR(__xludf.DUMMYFUNCTION("IMPORTRANGE(""https://docs.google.com/spreadsheets/d/1MeEWN-I1oV_STSDYn1IFDPWt_1FKiwhDph83XaGc0o0/edit?usp=sharing"",""งบพรบ!DL20"")"),0)</f>
        <v>0</v>
      </c>
      <c r="M285" s="93">
        <f ca="1">IFERROR(__xludf.DUMMYFUNCTION("IMPORTRANGE(""https://docs.google.com/spreadsheets/d/1MeEWN-I1oV_STSDYn1IFDPWt_1FKiwhDph83XaGc0o0/edit?usp=sharing"",""งบพรบ!DO20"")"),0)</f>
        <v>0</v>
      </c>
      <c r="N285" s="93">
        <f ca="1">IFERROR(__xludf.DUMMYFUNCTION("IMPORTRANGE(""https://docs.google.com/spreadsheets/d/1MeEWN-I1oV_STSDYn1IFDPWt_1FKiwhDph83XaGc0o0/edit?usp=sharing"",""งบพรบ!DQ20"")"),0)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IFERROR(__xludf.DUMMYFUNCTION("IMPORTRANGE(""https://docs.google.com/spreadsheets/d/1QqKyyYR6Q21VydFLVH3TRQUabQu_ym0Zz7PgGX0-kHA/edit?usp=sharing"",""แผน!EC20"")"),100)</f>
        <v>100</v>
      </c>
      <c r="J287" s="215">
        <v>113</v>
      </c>
      <c r="K287" s="163">
        <f t="shared" ref="K287:K288" ca="1" si="131">IF(I287&gt;0,J287*100/I287,0)</f>
        <v>113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IFERROR(__xludf.DUMMYFUNCTION("IMPORTRANGE(""https://docs.google.com/spreadsheets/d/1QqKyyYR6Q21VydFLVH3TRQUabQu_ym0Zz7PgGX0-kHA/edit?usp=sharing"",""แผน!EB20"")"),10)</f>
        <v>10</v>
      </c>
      <c r="J288" s="648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IFERROR(__xludf.DUMMYFUNCTION("IMPORTRANGE(""https://docs.google.com/spreadsheets/d/1QqKyyYR6Q21VydFLVH3TRQUabQu_ym0Zz7PgGX0-kHA/edit?usp=sharing"",""แผน!EB20"")"),10)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IFERROR(__xludf.DUMMYFUNCTION("IMPORTRANGE(""https://docs.google.com/spreadsheets/d/1QqKyyYR6Q21VydFLVH3TRQUabQu_ym0Zz7PgGX0-kHA/edit?usp=sharing"",""แผน!EB20"")"),10)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IFERROR(__xludf.DUMMYFUNCTION("IMPORTRANGE(""https://docs.google.com/spreadsheets/d/1QqKyyYR6Q21VydFLVH3TRQUabQu_ym0Zz7PgGX0-kHA/edit?usp=sharing"",""แผน!EB20"")"),10)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1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IFERROR(__xludf.DUMMYFUNCTION("IMPORTRANGE(""https://docs.google.com/spreadsheets/d/1QqKyyYR6Q21VydFLVH3TRQUabQu_ym0Zz7PgGX0-kHA/edit?usp=sharing"",""แผน!EB20"")"),10)</f>
        <v>10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4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368400</v>
      </c>
      <c r="M298" s="155">
        <f t="shared" ca="1" si="135"/>
        <v>272400</v>
      </c>
      <c r="N298" s="155">
        <f t="shared" ca="1" si="135"/>
        <v>185932</v>
      </c>
      <c r="O298" s="155">
        <f t="shared" ref="O298:O306" ca="1" si="136">IF(L298&gt;0,N298*100/L298,0)</f>
        <v>50.470141150922913</v>
      </c>
      <c r="P298" s="155">
        <f t="shared" ref="P298:P306" ca="1" si="137">IF(M298&gt;0,N298*100/M298,0)</f>
        <v>68.256975036710713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368400</v>
      </c>
      <c r="M300" s="93">
        <f t="shared" ca="1" si="138"/>
        <v>272400</v>
      </c>
      <c r="N300" s="93">
        <f t="shared" ca="1" si="138"/>
        <v>185932</v>
      </c>
      <c r="O300" s="93">
        <f t="shared" ca="1" si="136"/>
        <v>50.470141150922913</v>
      </c>
      <c r="P300" s="93">
        <f t="shared" ca="1" si="137"/>
        <v>68.256975036710713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39">L302+L303</f>
        <v>368400</v>
      </c>
      <c r="M301" s="466">
        <f t="shared" ca="1" si="139"/>
        <v>272400</v>
      </c>
      <c r="N301" s="466">
        <f t="shared" ca="1" si="139"/>
        <v>185932</v>
      </c>
      <c r="O301" s="466">
        <f t="shared" ca="1" si="136"/>
        <v>50.470141150922913</v>
      </c>
      <c r="P301" s="466">
        <f t="shared" ca="1" si="137"/>
        <v>68.256975036710713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IFERROR(__xludf.DUMMYFUNCTION("IMPORTRANGE(""https://docs.google.com/spreadsheets/d/1MeEWN-I1oV_STSDYn1IFDPWt_1FKiwhDph83XaGc0o0/edit?usp=sharing"",""งบพรบ!DS20"")"),368400)</f>
        <v>368400</v>
      </c>
      <c r="M303" s="93">
        <f ca="1">IFERROR(__xludf.DUMMYFUNCTION("IMPORTRANGE(""https://docs.google.com/spreadsheets/d/1MeEWN-I1oV_STSDYn1IFDPWt_1FKiwhDph83XaGc0o0/edit?usp=sharing"",""งบพรบ!DX20"")"),272400)</f>
        <v>272400</v>
      </c>
      <c r="N303" s="93">
        <f ca="1">IFERROR(__xludf.DUMMYFUNCTION("IMPORTRANGE(""https://docs.google.com/spreadsheets/d/1MeEWN-I1oV_STSDYn1IFDPWt_1FKiwhDph83XaGc0o0/edit?usp=sharing"",""งบพรบ!DZ20"")"),185932)</f>
        <v>185932</v>
      </c>
      <c r="O303" s="93">
        <f t="shared" ca="1" si="136"/>
        <v>50.470141150922913</v>
      </c>
      <c r="P303" s="93">
        <f t="shared" ca="1" si="137"/>
        <v>68.256975036710713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IFERROR(__xludf.DUMMYFUNCTION("IMPORTRANGE(""https://docs.google.com/spreadsheets/d/1MeEWN-I1oV_STSDYn1IFDPWt_1FKiwhDph83XaGc0o0/edit?usp=sharing"",""งบพรบ!DV20"")"),0)</f>
        <v>0</v>
      </c>
      <c r="M306" s="93">
        <f ca="1">IFERROR(__xludf.DUMMYFUNCTION("IMPORTRANGE(""https://docs.google.com/spreadsheets/d/1MeEWN-I1oV_STSDYn1IFDPWt_1FKiwhDph83XaGc0o0/edit?usp=sharing"",""งบพรบ!DY20"")"),0)</f>
        <v>0</v>
      </c>
      <c r="N306" s="93">
        <f ca="1">IFERROR(__xludf.DUMMYFUNCTION("IMPORTRANGE(""https://docs.google.com/spreadsheets/d/1MeEWN-I1oV_STSDYn1IFDPWt_1FKiwhDph83XaGc0o0/edit?usp=sharing"",""งบพรบ!EA20"")"),0)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IFERROR(__xludf.DUMMYFUNCTION("IMPORTRANGE(""https://docs.google.com/spreadsheets/d/1QqKyyYR6Q21VydFLVH3TRQUabQu_ym0Zz7PgGX0-kHA/edit?usp=sharing"",""แผน!ED20"")"),20)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IFERROR(__xludf.DUMMYFUNCTION("IMPORTRANGE(""https://docs.google.com/spreadsheets/d/1QqKyyYR6Q21VydFLVH3TRQUabQu_ym0Zz7PgGX0-kHA/edit?usp=sharing"",""แผน!ED20"")"),20)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IFERROR(__xludf.DUMMYFUNCTION("IMPORTRANGE(""https://docs.google.com/spreadsheets/d/1QqKyyYR6Q21VydFLVH3TRQUabQu_ym0Zz7PgGX0-kHA/edit?usp=sharing"",""แผน!ED20"")"),20)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IFERROR(__xludf.DUMMYFUNCTION("IMPORTRANGE(""https://docs.google.com/spreadsheets/d/1QqKyyYR6Q21VydFLVH3TRQUabQu_ym0Zz7PgGX0-kHA/edit?usp=sharing"",""แผน!EE20"")"),4)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4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IFERROR(__xludf.DUMMYFUNCTION("IMPORTRANGE(""https://docs.google.com/spreadsheets/d/1MeEWN-I1oV_STSDYn1IFDPWt_1FKiwhDph83XaGc0o0/edit?usp=sharing"",""งบพรบ!EC20"")"),0)</f>
        <v>0</v>
      </c>
      <c r="M320" s="93">
        <f ca="1">IFERROR(__xludf.DUMMYFUNCTION("IMPORTRANGE(""https://docs.google.com/spreadsheets/d/1MeEWN-I1oV_STSDYn1IFDPWt_1FKiwhDph83XaGc0o0/edit?usp=sharing"",""งบพรบ!EH20"")"),0)</f>
        <v>0</v>
      </c>
      <c r="N320" s="93">
        <f ca="1">IFERROR(__xludf.DUMMYFUNCTION("IMPORTRANGE(""https://docs.google.com/spreadsheets/d/1MeEWN-I1oV_STSDYn1IFDPWt_1FKiwhDph83XaGc0o0/edit?usp=sharing"",""งบพรบ!EJ20"")"),0)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IFERROR(__xludf.DUMMYFUNCTION("IMPORTRANGE(""https://docs.google.com/spreadsheets/d/1MeEWN-I1oV_STSDYn1IFDPWt_1FKiwhDph83XaGc0o0/edit?usp=sharing"",""งบพรบ!EF20"")"),0)</f>
        <v>0</v>
      </c>
      <c r="M323" s="93">
        <f ca="1">IFERROR(__xludf.DUMMYFUNCTION("IMPORTRANGE(""https://docs.google.com/spreadsheets/d/1MeEWN-I1oV_STSDYn1IFDPWt_1FKiwhDph83XaGc0o0/edit?usp=sharing"",""งบพรบ!EI20"")"),0)</f>
        <v>0</v>
      </c>
      <c r="N323" s="93">
        <f ca="1">IFERROR(__xludf.DUMMYFUNCTION("IMPORTRANGE(""https://docs.google.com/spreadsheets/d/1MeEWN-I1oV_STSDYn1IFDPWt_1FKiwhDph83XaGc0o0/edit?usp=sharing"",""งบพรบ!EK20"")"),0)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IFERROR(__xludf.DUMMYFUNCTION("IMPORTRANGE(""https://docs.google.com/spreadsheets/d/1QqKyyYR6Q21VydFLVH3TRQUabQu_ym0Zz7PgGX0-kHA/edit?usp=sharing"",""แผน!EF20"")"),0)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IFERROR(__xludf.DUMMYFUNCTION("IMPORTRANGE(""https://docs.google.com/spreadsheets/d/1QqKyyYR6Q21VydFLVH3TRQUabQu_ym0Zz7PgGX0-kHA/edit?usp=sharing"",""แผน!EG20"")"),1600)</f>
        <v>1600</v>
      </c>
      <c r="J327" s="413">
        <f ca="1">J338+J341+J342+J343</f>
        <v>2105</v>
      </c>
      <c r="K327" s="414">
        <f ca="1">IF(I327&gt;0,J327*100/I327,0)</f>
        <v>131.5625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4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168000</v>
      </c>
      <c r="M328" s="155">
        <f t="shared" ca="1" si="149"/>
        <v>126000</v>
      </c>
      <c r="N328" s="155">
        <f t="shared" ca="1" si="149"/>
        <v>50450</v>
      </c>
      <c r="O328" s="155">
        <f t="shared" ref="O328:O336" ca="1" si="150">IF(L328&gt;0,N328*100/L328,0)</f>
        <v>30.029761904761905</v>
      </c>
      <c r="P328" s="155">
        <f t="shared" ref="P328:P336" ca="1" si="151">IF(M328&gt;0,N328*100/M328,0)</f>
        <v>40.039682539682538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168000</v>
      </c>
      <c r="M330" s="93">
        <f t="shared" ca="1" si="152"/>
        <v>126000</v>
      </c>
      <c r="N330" s="93">
        <f t="shared" ca="1" si="152"/>
        <v>50450</v>
      </c>
      <c r="O330" s="93">
        <f t="shared" ca="1" si="150"/>
        <v>30.029761904761905</v>
      </c>
      <c r="P330" s="93">
        <f t="shared" ca="1" si="151"/>
        <v>40.039682539682538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3">L332+L333</f>
        <v>168000</v>
      </c>
      <c r="M331" s="466">
        <f t="shared" ca="1" si="153"/>
        <v>126000</v>
      </c>
      <c r="N331" s="466">
        <f t="shared" ca="1" si="153"/>
        <v>50450</v>
      </c>
      <c r="O331" s="466">
        <f t="shared" ca="1" si="150"/>
        <v>30.029761904761905</v>
      </c>
      <c r="P331" s="466">
        <f t="shared" ca="1" si="151"/>
        <v>40.039682539682538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IFERROR(__xludf.DUMMYFUNCTION("IMPORTRANGE(""https://docs.google.com/spreadsheets/d/1MeEWN-I1oV_STSDYn1IFDPWt_1FKiwhDph83XaGc0o0/edit?usp=sharing"",""งบพรบ!EM20"")"),168000)</f>
        <v>168000</v>
      </c>
      <c r="M333" s="93">
        <f ca="1">IFERROR(__xludf.DUMMYFUNCTION("IMPORTRANGE(""https://docs.google.com/spreadsheets/d/1MeEWN-I1oV_STSDYn1IFDPWt_1FKiwhDph83XaGc0o0/edit?usp=sharing"",""งบพรบ!ER20"")"),126000)</f>
        <v>126000</v>
      </c>
      <c r="N333" s="93">
        <f ca="1">IFERROR(__xludf.DUMMYFUNCTION("IMPORTRANGE(""https://docs.google.com/spreadsheets/d/1MeEWN-I1oV_STSDYn1IFDPWt_1FKiwhDph83XaGc0o0/edit?usp=sharing"",""งบพรบ!ET20"")"),50450)</f>
        <v>50450</v>
      </c>
      <c r="O333" s="93">
        <f t="shared" ca="1" si="150"/>
        <v>30.029761904761905</v>
      </c>
      <c r="P333" s="93">
        <f t="shared" ca="1" si="151"/>
        <v>40.039682539682538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IFERROR(__xludf.DUMMYFUNCTION("IMPORTRANGE(""https://docs.google.com/spreadsheets/d/1MeEWN-I1oV_STSDYn1IFDPWt_1FKiwhDph83XaGc0o0/edit?usp=sharing"",""งบพรบ!EP20"")"),0)</f>
        <v>0</v>
      </c>
      <c r="M336" s="93">
        <f ca="1">IFERROR(__xludf.DUMMYFUNCTION("IMPORTRANGE(""https://docs.google.com/spreadsheets/d/1MeEWN-I1oV_STSDYn1IFDPWt_1FKiwhDph83XaGc0o0/edit?usp=sharing"",""งบพรบ!ES20"")"),0)</f>
        <v>0</v>
      </c>
      <c r="N336" s="93">
        <f ca="1">IFERROR(__xludf.DUMMYFUNCTION("IMPORTRANGE(""https://docs.google.com/spreadsheets/d/1MeEWN-I1oV_STSDYn1IFDPWt_1FKiwhDph83XaGc0o0/edit?usp=sharing"",""งบพรบ!EU20"")"),0)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IFERROR(__xludf.DUMMYFUNCTION("IMPORTRANGE(""https://docs.google.com/spreadsheets/d/1QqKyyYR6Q21VydFLVH3TRQUabQu_ym0Zz7PgGX0-kHA/edit?usp=sharing"",""แผน!EG20"")"),1600)</f>
        <v>1600</v>
      </c>
      <c r="J338" s="270">
        <f ca="1">IFERROR(__xludf.DUMMYFUNCTION("IMPORTRANGE(""https://docs.google.com/spreadsheets/d/1kVcqe37tkHyjCSG3S0O1AXqVkqjo8mSIZil3BcpIysc/edit?usp=sharing"",""ศูนย์!D20"")"),1962)</f>
        <v>1962</v>
      </c>
      <c r="K338" s="466">
        <f ca="1">IF(I338&gt;0,J338*100/I338,0)</f>
        <v>122.625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IFERROR(__xludf.DUMMYFUNCTION("IMPORTRANGE(""https://docs.google.com/spreadsheets/d/1QqKyyYR6Q21VydFLVH3TRQUabQu_ym0Zz7PgGX0-kHA/edit?usp=sharing"",""แผน!EH20"")"),5)</f>
        <v>5</v>
      </c>
      <c r="J340" s="270">
        <f ca="1">IFERROR(__xludf.DUMMYFUNCTION("IMPORTRANGE(""https://docs.google.com/spreadsheets/d/1kVcqe37tkHyjCSG3S0O1AXqVkqjo8mSIZil3BcpIysc/edit?usp=sharing"",""ศูนย์!E20"")"),3)</f>
        <v>3</v>
      </c>
      <c r="K340" s="466">
        <f ca="1">IF(I340&gt;0,J340*100/I340,0)</f>
        <v>60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IFERROR(__xludf.DUMMYFUNCTION("IMPORTRANGE(""https://docs.google.com/spreadsheets/d/1kVcqe37tkHyjCSG3S0O1AXqVkqjo8mSIZil3BcpIysc/edit?usp=sharing"",""ศูนย์!F20"")"),143)</f>
        <v>143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IFERROR(__xludf.DUMMYFUNCTION("IMPORTRANGE(""https://docs.google.com/spreadsheets/d/1kVcqe37tkHyjCSG3S0O1AXqVkqjo8mSIZil3BcpIysc/edit?usp=sharing"",""ศูนย์!G20"")"),0)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IFERROR(__xludf.DUMMYFUNCTION("IMPORTRANGE(""https://docs.google.com/spreadsheets/d/1kVcqe37tkHyjCSG3S0O1AXqVkqjo8mSIZil3BcpIysc/edit?usp=sharing"",""ศูนย์!H20"")"),0)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4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590000</v>
      </c>
      <c r="M345" s="155">
        <f t="shared" ca="1" si="155"/>
        <v>417200</v>
      </c>
      <c r="N345" s="155">
        <f t="shared" ca="1" si="155"/>
        <v>276354.07</v>
      </c>
      <c r="O345" s="155">
        <f t="shared" ref="O345:O353" ca="1" si="156">IF(L345&gt;0,N345*100/L345,0)</f>
        <v>46.839672881355931</v>
      </c>
      <c r="P345" s="155">
        <f t="shared" ref="P345:P353" ca="1" si="157">IF(M345&gt;0,N345*100/M345,0)</f>
        <v>66.240189357622242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590000</v>
      </c>
      <c r="M347" s="93">
        <f t="shared" ca="1" si="158"/>
        <v>417200</v>
      </c>
      <c r="N347" s="93">
        <f t="shared" ca="1" si="158"/>
        <v>276354.07</v>
      </c>
      <c r="O347" s="93">
        <f t="shared" ca="1" si="156"/>
        <v>46.839672881355931</v>
      </c>
      <c r="P347" s="93">
        <f t="shared" ca="1" si="157"/>
        <v>66.240189357622242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59">L349+L350</f>
        <v>492200</v>
      </c>
      <c r="M348" s="466">
        <f t="shared" ca="1" si="159"/>
        <v>319400</v>
      </c>
      <c r="N348" s="466">
        <f t="shared" ca="1" si="159"/>
        <v>178554.07</v>
      </c>
      <c r="O348" s="466">
        <f t="shared" ca="1" si="156"/>
        <v>36.276731003657048</v>
      </c>
      <c r="P348" s="466">
        <f t="shared" ca="1" si="157"/>
        <v>55.90296493425172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IFERROR(__xludf.DUMMYFUNCTION("IMPORTRANGE(""https://docs.google.com/spreadsheets/d/1MeEWN-I1oV_STSDYn1IFDPWt_1FKiwhDph83XaGc0o0/edit?usp=sharing"",""งบพรบ!EW20"")"),492200)</f>
        <v>492200</v>
      </c>
      <c r="M350" s="93">
        <f ca="1">IFERROR(__xludf.DUMMYFUNCTION("IMPORTRANGE(""https://docs.google.com/spreadsheets/d/1MeEWN-I1oV_STSDYn1IFDPWt_1FKiwhDph83XaGc0o0/edit?usp=sharing"",""งบพรบ!FB20"")"),319400)</f>
        <v>319400</v>
      </c>
      <c r="N350" s="93">
        <f ca="1">IFERROR(__xludf.DUMMYFUNCTION("IMPORTRANGE(""https://docs.google.com/spreadsheets/d/1MeEWN-I1oV_STSDYn1IFDPWt_1FKiwhDph83XaGc0o0/edit?usp=sharing"",""งบพรบ!FD20"")"),178554.07)</f>
        <v>178554.07</v>
      </c>
      <c r="O350" s="93">
        <f t="shared" ca="1" si="156"/>
        <v>36.276731003657048</v>
      </c>
      <c r="P350" s="93">
        <f t="shared" ca="1" si="157"/>
        <v>55.90296493425172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97800</v>
      </c>
      <c r="M351" s="466">
        <f t="shared" ca="1" si="160"/>
        <v>97800</v>
      </c>
      <c r="N351" s="466">
        <f t="shared" ca="1" si="160"/>
        <v>97800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IFERROR(__xludf.DUMMYFUNCTION("IMPORTRANGE(""https://docs.google.com/spreadsheets/d/1MeEWN-I1oV_STSDYn1IFDPWt_1FKiwhDph83XaGc0o0/edit?usp=sharing"",""งบพรบ!EZ20"")"),97800)</f>
        <v>97800</v>
      </c>
      <c r="M353" s="93">
        <f ca="1">IFERROR(__xludf.DUMMYFUNCTION("IMPORTRANGE(""https://docs.google.com/spreadsheets/d/1MeEWN-I1oV_STSDYn1IFDPWt_1FKiwhDph83XaGc0o0/edit?usp=sharing"",""งบพรบ!FC20"")"),97800)</f>
        <v>97800</v>
      </c>
      <c r="N353" s="93">
        <f ca="1">IFERROR(__xludf.DUMMYFUNCTION("IMPORTRANGE(""https://docs.google.com/spreadsheets/d/1MeEWN-I1oV_STSDYn1IFDPWt_1FKiwhDph83XaGc0o0/edit?usp=sharing"",""งบพรบ!FE20"")"),97800)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IFERROR(__xludf.DUMMYFUNCTION("IMPORTRANGE(""https://docs.google.com/spreadsheets/d/1QqKyyYR6Q21VydFLVH3TRQUabQu_ym0Zz7PgGX0-kHA/edit?usp=sharing"",""แผน!EP20"")"),240)</f>
        <v>240</v>
      </c>
      <c r="J355" s="433">
        <f ca="1">J362</f>
        <v>43</v>
      </c>
      <c r="K355" s="434">
        <f ca="1">IF(I355&gt;0,J355*100/I355,0)</f>
        <v>17.916666666666668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IFERROR(__xludf.DUMMYFUNCTION("IMPORTRANGE(""https://docs.google.com/spreadsheets/d/1XWAQStnk-4SwqDmLtmXYiTMKHgktTP8We1SCoS47DrQ/edit?usp=sharing"",""จัดที่ดิน!W20"")"),59)</f>
        <v>59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IFERROR(__xludf.DUMMYFUNCTION("IMPORTRANGE(""https://docs.google.com/spreadsheets/d/1QqKyyYR6Q21VydFLVH3TRQUabQu_ym0Zz7PgGX0-kHA/edit?usp=sharing"",""แผน!EO20"")"),2000)</f>
        <v>2000</v>
      </c>
      <c r="J359" s="270">
        <f ca="1">IFERROR(__xludf.DUMMYFUNCTION("IMPORTRANGE(""https://docs.google.com/spreadsheets/d/1XWAQStnk-4SwqDmLtmXYiTMKHgktTP8We1SCoS47DrQ/edit?usp=sharing"",""จัดที่ดิน!X20"")"),315.54)</f>
        <v>315.54000000000002</v>
      </c>
      <c r="K359" s="466">
        <f t="shared" ca="1" si="161"/>
        <v>15.777000000000001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IFERROR(__xludf.DUMMYFUNCTION("IMPORTRANGE(""https://docs.google.com/spreadsheets/d/1QqKyyYR6Q21VydFLVH3TRQUabQu_ym0Zz7PgGX0-kHA/edit?usp=sharing"",""แผน!EP20"")"),240)</f>
        <v>240</v>
      </c>
      <c r="J360" s="270">
        <f ca="1">IFERROR(__xludf.DUMMYFUNCTION("IMPORTRANGE(""https://docs.google.com/spreadsheets/d/1XWAQStnk-4SwqDmLtmXYiTMKHgktTP8We1SCoS47DrQ/edit?usp=sharing"",""จัดที่ดิน!Y20"")"),33)</f>
        <v>33</v>
      </c>
      <c r="K360" s="466">
        <f t="shared" ca="1" si="161"/>
        <v>13.75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IFERROR(__xludf.DUMMYFUNCTION("IMPORTRANGE(""https://docs.google.com/spreadsheets/d/1XWAQStnk-4SwqDmLtmXYiTMKHgktTP8We1SCoS47DrQ/edit?usp=sharing"",""จัดที่ดิน!Z20"")"),137.67)</f>
        <v>137.66999999999999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IFERROR(__xludf.DUMMYFUNCTION("IMPORTRANGE(""https://docs.google.com/spreadsheets/d/1QqKyyYR6Q21VydFLVH3TRQUabQu_ym0Zz7PgGX0-kHA/edit?usp=sharing"",""แผน!EP20"")"),240)</f>
        <v>240</v>
      </c>
      <c r="J362" s="270">
        <f ca="1">IFERROR(__xludf.DUMMYFUNCTION("IMPORTRANGE(""https://docs.google.com/spreadsheets/d/1XWAQStnk-4SwqDmLtmXYiTMKHgktTP8We1SCoS47DrQ/edit?usp=sharing"",""จัดที่ดิน!AA20"")"),43)</f>
        <v>43</v>
      </c>
      <c r="K362" s="466">
        <f t="shared" ca="1" si="161"/>
        <v>17.916666666666668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IFERROR(__xludf.DUMMYFUNCTION("IMPORTRANGE(""https://docs.google.com/spreadsheets/d/1XWAQStnk-4SwqDmLtmXYiTMKHgktTP8We1SCoS47DrQ/edit?usp=sharing"",""จัดที่ดิน!AB20"")"),198.18)</f>
        <v>198.18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440</v>
      </c>
      <c r="J364" s="447">
        <f t="shared" ca="1" si="162"/>
        <v>110</v>
      </c>
      <c r="K364" s="448">
        <f t="shared" ca="1" si="161"/>
        <v>25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IFERROR(__xludf.DUMMYFUNCTION("IMPORTRANGE(""https://docs.google.com/spreadsheets/d/1QqKyyYR6Q21VydFLVH3TRQUabQu_ym0Zz7PgGX0-kHA/edit?usp=sharing"",""แผน!EJ20"")"),100)</f>
        <v>100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IFERROR(__xludf.DUMMYFUNCTION("IMPORTRANGE(""https://docs.google.com/spreadsheets/d/1XWAQStnk-4SwqDmLtmXYiTMKHgktTP8We1SCoS47DrQ/edit?usp=sharing"",""จัดที่ดิน!E20"")"),15)</f>
        <v>15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IFERROR(__xludf.DUMMYFUNCTION("IMPORTRANGE(""https://docs.google.com/spreadsheets/d/1QqKyyYR6Q21VydFLVH3TRQUabQu_ym0Zz7PgGX0-kHA/edit?usp=sharing"",""แผน!EI20"")"),1000)</f>
        <v>1000</v>
      </c>
      <c r="J369" s="270">
        <f ca="1">IFERROR(__xludf.DUMMYFUNCTION("IMPORTRANGE(""https://docs.google.com/spreadsheets/d/1XWAQStnk-4SwqDmLtmXYiTMKHgktTP8We1SCoS47DrQ/edit?usp=sharing"",""จัดที่ดิน!F20"")"),117.11)</f>
        <v>117.11</v>
      </c>
      <c r="K369" s="466">
        <f t="shared" ca="1" si="163"/>
        <v>11.711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IFERROR(__xludf.DUMMYFUNCTION("IMPORTRANGE(""https://docs.google.com/spreadsheets/d/1QqKyyYR6Q21VydFLVH3TRQUabQu_ym0Zz7PgGX0-kHA/edit?usp=sharing"",""แผน!EJ20"")"),100)</f>
        <v>100</v>
      </c>
      <c r="J370" s="270">
        <f ca="1">IFERROR(__xludf.DUMMYFUNCTION("IMPORTRANGE(""https://docs.google.com/spreadsheets/d/1XWAQStnk-4SwqDmLtmXYiTMKHgktTP8We1SCoS47DrQ/edit?usp=sharing"",""จัดที่ดิน!G20"")"),2)</f>
        <v>2</v>
      </c>
      <c r="K370" s="466">
        <f t="shared" ca="1" si="163"/>
        <v>2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IFERROR(__xludf.DUMMYFUNCTION("IMPORTRANGE(""https://docs.google.com/spreadsheets/d/1XWAQStnk-4SwqDmLtmXYiTMKHgktTP8We1SCoS47DrQ/edit?usp=sharing"",""จัดที่ดิน!H20"")"),22.52)</f>
        <v>22.52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IFERROR(__xludf.DUMMYFUNCTION("IMPORTRANGE(""https://docs.google.com/spreadsheets/d/1QqKyyYR6Q21VydFLVH3TRQUabQu_ym0Zz7PgGX0-kHA/edit?usp=sharing"",""แผน!EJ20"")"),100)</f>
        <v>100</v>
      </c>
      <c r="J372" s="270">
        <f ca="1">IFERROR(__xludf.DUMMYFUNCTION("IMPORTRANGE(""https://docs.google.com/spreadsheets/d/1XWAQStnk-4SwqDmLtmXYiTMKHgktTP8We1SCoS47DrQ/edit?usp=sharing"",""จัดที่ดิน!I20"")"),0)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IFERROR(__xludf.DUMMYFUNCTION("IMPORTRANGE(""https://docs.google.com/spreadsheets/d/1XWAQStnk-4SwqDmLtmXYiTMKHgktTP8We1SCoS47DrQ/edit?usp=sharing"",""จัดที่ดิน!J20"")"),0)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IFERROR(__xludf.DUMMYFUNCTION("IMPORTRANGE(""https://docs.google.com/spreadsheets/d/1QqKyyYR6Q21VydFLVH3TRQUabQu_ym0Zz7PgGX0-kHA/edit?usp=sharing"",""แผน!EU20"")"),340)</f>
        <v>340</v>
      </c>
      <c r="J374" s="459">
        <f ca="1">J381</f>
        <v>110</v>
      </c>
      <c r="K374" s="460">
        <f t="shared" ca="1" si="163"/>
        <v>32.352941176470587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IFERROR(__xludf.DUMMYFUNCTION("IMPORTRANGE(""https://docs.google.com/spreadsheets/d/1XWAQStnk-4SwqDmLtmXYiTMKHgktTP8We1SCoS47DrQ/edit?usp=sharing"",""จัดที่ดิน!AH20"")"),44)</f>
        <v>44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IFERROR(__xludf.DUMMYFUNCTION("IMPORTRANGE(""https://docs.google.com/spreadsheets/d/1QqKyyYR6Q21VydFLVH3TRQUabQu_ym0Zz7PgGX0-kHA/edit?usp=sharing"",""แผน!ET20"")"),1000)</f>
        <v>1000</v>
      </c>
      <c r="J378" s="270">
        <f ca="1">IFERROR(__xludf.DUMMYFUNCTION("IMPORTRANGE(""https://docs.google.com/spreadsheets/d/1XWAQStnk-4SwqDmLtmXYiTMKHgktTP8We1SCoS47DrQ/edit?usp=sharing"",""จัดที่ดิน!AI20"")"),198.43)</f>
        <v>198.43</v>
      </c>
      <c r="K378" s="466">
        <f t="shared" ca="1" si="164"/>
        <v>19.843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IFERROR(__xludf.DUMMYFUNCTION("IMPORTRANGE(""https://docs.google.com/spreadsheets/d/1QqKyyYR6Q21VydFLVH3TRQUabQu_ym0Zz7PgGX0-kHA/edit?usp=sharing"",""แผน!EU20"")"),340)</f>
        <v>340</v>
      </c>
      <c r="J379" s="270">
        <f ca="1">IFERROR(__xludf.DUMMYFUNCTION("IMPORTRANGE(""https://docs.google.com/spreadsheets/d/1XWAQStnk-4SwqDmLtmXYiTMKHgktTP8We1SCoS47DrQ/edit?usp=sharing"",""จัดที่ดิน!AJ20"")"),98)</f>
        <v>98</v>
      </c>
      <c r="K379" s="466">
        <f t="shared" ca="1" si="164"/>
        <v>28.823529411764707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IFERROR(__xludf.DUMMYFUNCTION("IMPORTRANGE(""https://docs.google.com/spreadsheets/d/1XWAQStnk-4SwqDmLtmXYiTMKHgktTP8We1SCoS47DrQ/edit?usp=sharing"",""จัดที่ดิน!AK20"")"),566.72)</f>
        <v>566.72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IFERROR(__xludf.DUMMYFUNCTION("IMPORTRANGE(""https://docs.google.com/spreadsheets/d/1QqKyyYR6Q21VydFLVH3TRQUabQu_ym0Zz7PgGX0-kHA/edit?usp=sharing"",""แผน!EU20"")"),340)</f>
        <v>340</v>
      </c>
      <c r="J381" s="270">
        <f ca="1">IFERROR(__xludf.DUMMYFUNCTION("IMPORTRANGE(""https://docs.google.com/spreadsheets/d/1XWAQStnk-4SwqDmLtmXYiTMKHgktTP8We1SCoS47DrQ/edit?usp=sharing"",""จัดที่ดิน!AL20"")"),110)</f>
        <v>110</v>
      </c>
      <c r="K381" s="466">
        <f t="shared" ca="1" si="164"/>
        <v>32.352941176470587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IFERROR(__xludf.DUMMYFUNCTION("IMPORTRANGE(""https://docs.google.com/spreadsheets/d/1XWAQStnk-4SwqDmLtmXYiTMKHgktTP8We1SCoS47DrQ/edit?usp=sharing"",""จัดที่ดิน!AM20"")"),649.75)</f>
        <v>649.75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IFERROR(__xludf.DUMMYFUNCTION("IMPORTRANGE(""https://docs.google.com/spreadsheets/d/1QqKyyYR6Q21VydFLVH3TRQUabQu_ym0Zz7PgGX0-kHA/edit?usp=sharing"",""แผน!EW20"")"),15)</f>
        <v>15</v>
      </c>
      <c r="J385" s="469">
        <f ca="1">IFERROR(__xludf.DUMMYFUNCTION("IMPORTRANGE(""https://docs.google.com/spreadsheets/d/1XWAQStnk-4SwqDmLtmXYiTMKHgktTP8We1SCoS47DrQ/edit?usp=sharing"",""จัดที่ดิน!AP20"")"),0)</f>
        <v>0</v>
      </c>
      <c r="K385" s="470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4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IFERROR(__xludf.DUMMYFUNCTION("IMPORTRANGE(""https://docs.google.com/spreadsheets/d/1MeEWN-I1oV_STSDYn1IFDPWt_1FKiwhDph83XaGc0o0/edit?usp=sharing"",""งบพรบ!FG20"")"),0)</f>
        <v>0</v>
      </c>
      <c r="M394" s="93">
        <f ca="1">IFERROR(__xludf.DUMMYFUNCTION("IMPORTRANGE(""https://docs.google.com/spreadsheets/d/1MeEWN-I1oV_STSDYn1IFDPWt_1FKiwhDph83XaGc0o0/edit?usp=sharing"",""งบพรบ!FL20"")"),0)</f>
        <v>0</v>
      </c>
      <c r="N394" s="93">
        <f ca="1">IFERROR(__xludf.DUMMYFUNCTION("IMPORTRANGE(""https://docs.google.com/spreadsheets/d/1MeEWN-I1oV_STSDYn1IFDPWt_1FKiwhDph83XaGc0o0/edit?usp=sharing"",""งบพรบ!FN20"")"),0)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IFERROR(__xludf.DUMMYFUNCTION("IMPORTRANGE(""https://docs.google.com/spreadsheets/d/1MeEWN-I1oV_STSDYn1IFDPWt_1FKiwhDph83XaGc0o0/edit?usp=sharing"",""งบพรบ!FJ20"")"),0)</f>
        <v>0</v>
      </c>
      <c r="M397" s="93">
        <f ca="1">IFERROR(__xludf.DUMMYFUNCTION("IMPORTRANGE(""https://docs.google.com/spreadsheets/d/1MeEWN-I1oV_STSDYn1IFDPWt_1FKiwhDph83XaGc0o0/edit?usp=sharing"",""งบพรบ!FM20"")"),0)</f>
        <v>0</v>
      </c>
      <c r="N397" s="93">
        <f ca="1">IFERROR(__xludf.DUMMYFUNCTION("IMPORTRANGE(""https://docs.google.com/spreadsheets/d/1MeEWN-I1oV_STSDYn1IFDPWt_1FKiwhDph83XaGc0o0/edit?usp=sharing"",""งบพรบ!FO20"")"),0)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4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IFERROR(__xludf.DUMMYFUNCTION("IMPORTRANGE(""https://docs.google.com/spreadsheets/d/1MeEWN-I1oV_STSDYn1IFDPWt_1FKiwhDph83XaGc0o0/edit?usp=sharing"",""งบพรบ!FQ20"")"),0)</f>
        <v>0</v>
      </c>
      <c r="M407" s="93">
        <f ca="1">IFERROR(__xludf.DUMMYFUNCTION("IMPORTRANGE(""https://docs.google.com/spreadsheets/d/1MeEWN-I1oV_STSDYn1IFDPWt_1FKiwhDph83XaGc0o0/edit?usp=sharing"",""งบพรบ!FV20"")"),0)</f>
        <v>0</v>
      </c>
      <c r="N407" s="93">
        <f ca="1">IFERROR(__xludf.DUMMYFUNCTION("IMPORTRANGE(""https://docs.google.com/spreadsheets/d/1MeEWN-I1oV_STSDYn1IFDPWt_1FKiwhDph83XaGc0o0/edit?usp=sharing"",""งบพรบ!FX20"")"),0)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IFERROR(__xludf.DUMMYFUNCTION("IMPORTRANGE(""https://docs.google.com/spreadsheets/d/1MeEWN-I1oV_STSDYn1IFDPWt_1FKiwhDph83XaGc0o0/edit?usp=sharing"",""งบพรบ!FT20"")"),0)</f>
        <v>0</v>
      </c>
      <c r="M410" s="93">
        <f ca="1">IFERROR(__xludf.DUMMYFUNCTION("IMPORTRANGE(""https://docs.google.com/spreadsheets/d/1MeEWN-I1oV_STSDYn1IFDPWt_1FKiwhDph83XaGc0o0/edit?usp=sharing"",""งบพรบ!FW20"")"),0)</f>
        <v>0</v>
      </c>
      <c r="N410" s="93">
        <f ca="1">IFERROR(__xludf.DUMMYFUNCTION("IMPORTRANGE(""https://docs.google.com/spreadsheets/d/1MeEWN-I1oV_STSDYn1IFDPWt_1FKiwhDph83XaGc0o0/edit?usp=sharing"",""งบพรบ!FY20"")"),0)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1544949</v>
      </c>
      <c r="M414" s="517">
        <f t="shared" si="181"/>
        <v>0</v>
      </c>
      <c r="N414" s="517">
        <f t="shared" si="181"/>
        <v>316074</v>
      </c>
      <c r="O414" s="517">
        <f ca="1">IF(L414&gt;0,N414*100/L414,0)</f>
        <v>20.458539408096968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65</v>
      </c>
      <c r="J417" s="533">
        <f t="shared" ca="1" si="182"/>
        <v>0</v>
      </c>
      <c r="K417" s="534">
        <f t="shared" ref="K417:K418" ca="1" si="183">IF(I417&gt;0,J417*100/I417,0)</f>
        <v>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2</v>
      </c>
      <c r="J418" s="533">
        <f t="shared" si="182"/>
        <v>1</v>
      </c>
      <c r="K418" s="534">
        <f t="shared" ca="1" si="183"/>
        <v>50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197440</v>
      </c>
      <c r="M419" s="155">
        <f t="shared" si="184"/>
        <v>0</v>
      </c>
      <c r="N419" s="155">
        <f t="shared" si="184"/>
        <v>23740</v>
      </c>
      <c r="O419" s="155">
        <f t="shared" ref="O419:O424" ca="1" si="185">IF(L419&gt;0,N419*100/L419,0)</f>
        <v>12.02390599675851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197440</v>
      </c>
      <c r="M421" s="93">
        <f t="shared" si="187"/>
        <v>0</v>
      </c>
      <c r="N421" s="93">
        <f t="shared" si="187"/>
        <v>23740</v>
      </c>
      <c r="O421" s="93">
        <f t="shared" ca="1" si="185"/>
        <v>12.02390599675851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8">L423+L424</f>
        <v>197440</v>
      </c>
      <c r="M422" s="466">
        <f t="shared" si="188"/>
        <v>0</v>
      </c>
      <c r="N422" s="466">
        <f t="shared" si="188"/>
        <v>23740</v>
      </c>
      <c r="O422" s="466">
        <f t="shared" ca="1" si="185"/>
        <v>12.02390599675851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IFERROR(__xludf.DUMMYFUNCTION("IMPORTRANGE(""https://docs.google.com/spreadsheets/d/1QqKyyYR6Q21VydFLVH3TRQUabQu_ym0Zz7PgGX0-kHA/edit?usp=sharing"",""แผน!EY20"")"),197440)</f>
        <v>197440</v>
      </c>
      <c r="M424" s="93">
        <v>0</v>
      </c>
      <c r="N424" s="93">
        <f>N425+N426+N427+N428</f>
        <v>23740</v>
      </c>
      <c r="O424" s="93">
        <f t="shared" ca="1" si="185"/>
        <v>12.02390599675851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v>22720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v>1020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65</v>
      </c>
      <c r="J433" s="648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t="shared" ref="I434:J434" ca="1" si="193">I438+I440</f>
        <v>2</v>
      </c>
      <c r="J434" s="648">
        <f t="shared" si="193"/>
        <v>1</v>
      </c>
      <c r="K434" s="195">
        <f t="shared" ca="1" si="192"/>
        <v>50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IFERROR(__xludf.DUMMYFUNCTION("IMPORTRANGE(""https://docs.google.com/spreadsheets/d/1QqKyyYR6Q21VydFLVH3TRQUabQu_ym0Zz7PgGX0-kHA/edit?usp=sharing"",""แผน!FC20"")"),65)</f>
        <v>65</v>
      </c>
      <c r="J435" s="549">
        <v>30</v>
      </c>
      <c r="K435" s="466">
        <f t="shared" ca="1" si="192"/>
        <v>46.153846153846153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IFERROR(__xludf.DUMMYFUNCTION("IMPORTRANGE(""https://docs.google.com/spreadsheets/d/1QqKyyYR6Q21VydFLVH3TRQUabQu_ym0Zz7PgGX0-kHA/edit?usp=sharing"",""แผน!FD20"")"),30)</f>
        <v>30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IFERROR(__xludf.DUMMYFUNCTION("IMPORTRANGE(""https://docs.google.com/spreadsheets/d/1QqKyyYR6Q21VydFLVH3TRQUabQu_ym0Zz7PgGX0-kHA/edit?usp=sharing"",""แผน!FE20"")"),1)</f>
        <v>1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IFERROR(__xludf.DUMMYFUNCTION("IMPORTRANGE(""https://docs.google.com/spreadsheets/d/1QqKyyYR6Q21VydFLVH3TRQUabQu_ym0Zz7PgGX0-kHA/edit?usp=sharing"",""แผน!FF20"")"),35)</f>
        <v>35</v>
      </c>
      <c r="J439" s="549">
        <v>35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IFERROR(__xludf.DUMMYFUNCTION("IMPORTRANGE(""https://docs.google.com/spreadsheets/d/1QqKyyYR6Q21VydFLVH3TRQUabQu_ym0Zz7PgGX0-kHA/edit?usp=sharing"",""แผน!FG20"")"),1)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IFERROR(__xludf.DUMMYFUNCTION("IMPORTRANGE(""https://docs.google.com/spreadsheets/d/1QqKyyYR6Q21VydFLVH3TRQUabQu_ym0Zz7PgGX0-kHA/edit?usp=sharing"",""แผน!FH20"")"),0)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60</v>
      </c>
      <c r="J442" s="555">
        <f t="shared" si="195"/>
        <v>60</v>
      </c>
      <c r="K442" s="556">
        <f t="shared" ca="1" si="194"/>
        <v>100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100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379600</v>
      </c>
      <c r="M444" s="195">
        <f t="shared" si="197"/>
        <v>0</v>
      </c>
      <c r="N444" s="195">
        <f t="shared" si="197"/>
        <v>75900</v>
      </c>
      <c r="O444" s="195">
        <f t="shared" ref="O444:O449" ca="1" si="198">IF(L444&gt;0,N444*100/L444,0)</f>
        <v>19.994731296101158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0"/>
        <v>379600</v>
      </c>
      <c r="M446" s="93">
        <f t="shared" si="200"/>
        <v>0</v>
      </c>
      <c r="N446" s="93">
        <f t="shared" si="200"/>
        <v>75900</v>
      </c>
      <c r="O446" s="93">
        <f t="shared" ca="1" si="198"/>
        <v>19.994731296101158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1">L448+L449</f>
        <v>379600</v>
      </c>
      <c r="M447" s="466">
        <f t="shared" si="201"/>
        <v>0</v>
      </c>
      <c r="N447" s="466">
        <f t="shared" si="201"/>
        <v>75900</v>
      </c>
      <c r="O447" s="466">
        <f t="shared" ca="1" si="198"/>
        <v>19.994731296101158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IFERROR(__xludf.DUMMYFUNCTION("IMPORTRANGE(""https://docs.google.com/spreadsheets/d/1QqKyyYR6Q21VydFLVH3TRQUabQu_ym0Zz7PgGX0-kHA/edit?usp=sharing"",""แผน!FJ20"")"),379600)</f>
        <v>379600</v>
      </c>
      <c r="M449" s="93">
        <v>0</v>
      </c>
      <c r="N449" s="93">
        <f>N450+N451+N452+N453</f>
        <v>75900</v>
      </c>
      <c r="O449" s="93">
        <f t="shared" ca="1" si="198"/>
        <v>19.994731296101158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v>35820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v>39000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v>1080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IFERROR(__xludf.DUMMYFUNCTION("IMPORTRANGE(""https://docs.google.com/spreadsheets/d/1QqKyyYR6Q21VydFLVH3TRQUabQu_ym0Zz7PgGX0-kHA/edit?usp=sharing"",""แผน!FN20"")"),60)</f>
        <v>60</v>
      </c>
      <c r="J460" s="215">
        <v>60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IFERROR(__xludf.DUMMYFUNCTION("IMPORTRANGE(""https://docs.google.com/spreadsheets/d/1QqKyyYR6Q21VydFLVH3TRQUabQu_ym0Zz7PgGX0-kHA/edit?usp=sharing"",""แผน!FO20"")"),100)</f>
        <v>100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IFERROR(__xludf.DUMMYFUNCTION("IMPORTRANGE(""https://docs.google.com/spreadsheets/d/1QqKyyYR6Q21VydFLVH3TRQUabQu_ym0Zz7PgGX0-kHA/edit?usp=sharing"",""แผน!FO20"")"),100)</f>
        <v>100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IFERROR(__xludf.DUMMYFUNCTION("IMPORTRANGE(""https://docs.google.com/spreadsheets/d/1QqKyyYR6Q21VydFLVH3TRQUabQu_ym0Zz7PgGX0-kHA/edit?usp=sharing"",""แผน!FN20"")"),60)</f>
        <v>60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IFERROR(__xludf.DUMMYFUNCTION("IMPORTRANGE(""https://docs.google.com/spreadsheets/d/1QqKyyYR6Q21VydFLVH3TRQUabQu_ym0Zz7PgGX0-kHA/edit?usp=sharing"",""แผน!FX20"")"),31)</f>
        <v>31</v>
      </c>
      <c r="J465" s="555">
        <f>J485+J489+J492</f>
        <v>3</v>
      </c>
      <c r="K465" s="556">
        <f t="shared" ref="K465:K466" ca="1" si="205">IF(I465&gt;0,J465*100/I465,0)</f>
        <v>9.67741935483871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IFERROR(__xludf.DUMMYFUNCTION("IMPORTRANGE(""https://docs.google.com/spreadsheets/d/1QqKyyYR6Q21VydFLVH3TRQUabQu_ym0Zz7PgGX0-kHA/edit?usp=sharing"",""แผน!FW20"")"),300)</f>
        <v>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260703</v>
      </c>
      <c r="M467" s="195">
        <f t="shared" si="206"/>
        <v>0</v>
      </c>
      <c r="N467" s="195">
        <f t="shared" si="206"/>
        <v>27800</v>
      </c>
      <c r="O467" s="195">
        <f t="shared" ref="O467:O472" ca="1" si="207">IF(L467&gt;0,N467*100/L467,0)</f>
        <v>10.663475295642934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09"/>
        <v>260703</v>
      </c>
      <c r="M469" s="93">
        <f t="shared" si="209"/>
        <v>0</v>
      </c>
      <c r="N469" s="93">
        <f t="shared" si="209"/>
        <v>27800</v>
      </c>
      <c r="O469" s="93">
        <f t="shared" ca="1" si="207"/>
        <v>10.663475295642934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0">L471+L472</f>
        <v>260703</v>
      </c>
      <c r="M470" s="466">
        <f t="shared" si="210"/>
        <v>0</v>
      </c>
      <c r="N470" s="466">
        <f t="shared" si="210"/>
        <v>27800</v>
      </c>
      <c r="O470" s="466">
        <f t="shared" ca="1" si="207"/>
        <v>10.663475295642934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IFERROR(__xludf.DUMMYFUNCTION("IMPORTRANGE(""https://docs.google.com/spreadsheets/d/1QqKyyYR6Q21VydFLVH3TRQUabQu_ym0Zz7PgGX0-kHA/edit?usp=sharing"",""แผน!FS20"")"),260703)</f>
        <v>260703</v>
      </c>
      <c r="M472" s="93">
        <v>0</v>
      </c>
      <c r="N472" s="93">
        <f>N473+N474+N475+N476</f>
        <v>27800</v>
      </c>
      <c r="O472" s="93">
        <f t="shared" ca="1" si="207"/>
        <v>10.663475295642934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>
        <v>17830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v>9970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IFERROR(__xludf.DUMMYFUNCTION("IMPORTRANGE(""https://docs.google.com/spreadsheets/d/1QqKyyYR6Q21VydFLVH3TRQUabQu_ym0Zz7PgGX0-kHA/edit?usp=sharing"",""แผน!FY20"")"),270)</f>
        <v>270</v>
      </c>
      <c r="J483" s="215">
        <v>0</v>
      </c>
      <c r="K483" s="466">
        <f ca="1">IF(I483&gt;0,J483*100/I483,0)</f>
        <v>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IFERROR(__xludf.DUMMYFUNCTION("IMPORTRANGE(""https://docs.google.com/spreadsheets/d/1QqKyyYR6Q21VydFLVH3TRQUabQu_ym0Zz7PgGX0-kHA/edit?usp=sharing"",""แผน!FZ20"")"),27)</f>
        <v>27</v>
      </c>
      <c r="J485" s="215">
        <v>0</v>
      </c>
      <c r="K485" s="466">
        <f ca="1">IF(I485&gt;0,J485*100/I485,0)</f>
        <v>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IFERROR(__xludf.DUMMYFUNCTION("IMPORTRANGE(""https://docs.google.com/spreadsheets/d/1QqKyyYR6Q21VydFLVH3TRQUabQu_ym0Zz7PgGX0-kHA/edit?usp=sharing"",""แผน!GA20"")"),30)</f>
        <v>30</v>
      </c>
      <c r="J487" s="215">
        <v>0</v>
      </c>
      <c r="K487" s="466">
        <f ca="1">IF(I487&gt;0,J487*100/I487,0)</f>
        <v>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IFERROR(__xludf.DUMMYFUNCTION("IMPORTRANGE(""https://docs.google.com/spreadsheets/d/1QqKyyYR6Q21VydFLVH3TRQUabQu_ym0Zz7PgGX0-kHA/edit?usp=sharing"",""แผน!GB20"")"),3)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IFERROR(__xludf.DUMMYFUNCTION("IMPORTRANGE(""https://docs.google.com/spreadsheets/d/1QqKyyYR6Q21VydFLVH3TRQUabQu_ym0Zz7PgGX0-kHA/edit?usp=sharing"",""แผน!GC20"")"),1)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IFERROR(__xludf.DUMMYFUNCTION("IMPORTRANGE(""https://docs.google.com/spreadsheets/d/1QqKyyYR6Q21VydFLVH3TRQUabQu_ym0Zz7PgGX0-kHA/edit?usp=sharing"",""แผน!FY20"")"),270)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IFERROR(__xludf.DUMMYFUNCTION("IMPORTRANGE(""https://docs.google.com/spreadsheets/d/1QqKyyYR6Q21VydFLVH3TRQUabQu_ym0Zz7PgGX0-kHA/edit?usp=sharing"",""แผน!GA20"")"),30)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6">L503+L504</f>
        <v>0</v>
      </c>
      <c r="M502" s="614">
        <f t="shared" si="216"/>
        <v>0</v>
      </c>
      <c r="N502" s="614">
        <f t="shared" si="216"/>
        <v>0</v>
      </c>
      <c r="O502" s="614">
        <f t="shared" ref="O502:O507" si="217">IF(L502&gt;0,N502*100/L502,0)</f>
        <v>0</v>
      </c>
      <c r="P502" s="614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6"/>
      <c r="D505" s="853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853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 hidden="1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5">I537</f>
        <v>0</v>
      </c>
      <c r="J522" s="675">
        <f t="shared" ca="1" si="225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IFERROR(__xludf.DUMMYFUNCTION("IMPORTRANGE(""https://docs.google.com/spreadsheets/d/1QqKyyYR6Q21VydFLVH3TRQUabQu_ym0Zz7PgGX0-kHA/edit?usp=sharing"",""แผน!GU20"")"),0)</f>
        <v>0</v>
      </c>
      <c r="J537" s="648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 hidden="1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IFERROR(__xludf.DUMMYFUNCTION("IMPORTRANGE(""https://docs.google.com/spreadsheets/d/1QqKyyYR6Q21VydFLVH3TRQUabQu_ym0Zz7PgGX0-kHA/edit?usp=sharing"",""แผน!GV20"")"),0)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 hidden="1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IFERROR(__xludf.DUMMYFUNCTION("IMPORTRANGE(""https://docs.google.com/spreadsheets/d/1QqKyyYR6Q21VydFLVH3TRQUabQu_ym0Zz7PgGX0-kHA/edit?usp=sharing"",""แผน!GW20"")"),0)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 hidden="1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IFERROR(__xludf.DUMMYFUNCTION("IMPORTRANGE(""https://docs.google.com/spreadsheets/d/1QqKyyYR6Q21VydFLVH3TRQUabQu_ym0Zz7PgGX0-kHA/edit?usp=sharing"",""แผน!GX20"")"),0)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 hidden="1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IFERROR(__xludf.DUMMYFUNCTION("IMPORTRANGE(""https://docs.google.com/spreadsheets/d/1QqKyyYR6Q21VydFLVH3TRQUabQu_ym0Zz7PgGX0-kHA/edit?usp=sharing"",""แผน!GY20"")"),0)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 hidden="1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IFERROR(__xludf.DUMMYFUNCTION("IMPORTRANGE(""https://docs.google.com/spreadsheets/d/1QqKyyYR6Q21VydFLVH3TRQUabQu_ym0Zz7PgGX0-kHA/edit?usp=sharing"",""แผน!GZ20"")"),0)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5">I559</f>
        <v>25837</v>
      </c>
      <c r="J543" s="654">
        <f t="shared" si="235"/>
        <v>0</v>
      </c>
      <c r="K543" s="655">
        <f t="shared" ca="1" si="234"/>
        <v>0</v>
      </c>
      <c r="L543" s="637"/>
      <c r="M543" s="637"/>
      <c r="N543" s="637"/>
      <c r="O543" s="637"/>
      <c r="P543" s="637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6">L545+L546</f>
        <v>348546</v>
      </c>
      <c r="M544" s="155">
        <f t="shared" si="236"/>
        <v>0</v>
      </c>
      <c r="N544" s="155">
        <f t="shared" si="236"/>
        <v>76914</v>
      </c>
      <c r="O544" s="155">
        <f t="shared" ref="O544:O549" ca="1" si="237">IF(L544&gt;0,N544*100/L544,0)</f>
        <v>22.067101616429394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39"/>
        <v>348546</v>
      </c>
      <c r="M546" s="93">
        <f t="shared" si="240"/>
        <v>0</v>
      </c>
      <c r="N546" s="93">
        <f t="shared" si="240"/>
        <v>76914</v>
      </c>
      <c r="O546" s="93">
        <f t="shared" ca="1" si="237"/>
        <v>22.067101616429394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1">L548+L549</f>
        <v>348546</v>
      </c>
      <c r="M547" s="466">
        <f t="shared" si="241"/>
        <v>0</v>
      </c>
      <c r="N547" s="466">
        <f t="shared" si="241"/>
        <v>76914</v>
      </c>
      <c r="O547" s="466">
        <f t="shared" ca="1" si="237"/>
        <v>22.067101616429394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IFERROR(__xludf.DUMMYFUNCTION("IMPORTRANGE(""https://docs.google.com/spreadsheets/d/1QqKyyYR6Q21VydFLVH3TRQUabQu_ym0Zz7PgGX0-kHA/edit?usp=sharing"",""แผน!HB20"")"),348546)</f>
        <v>348546</v>
      </c>
      <c r="M549" s="93">
        <v>0</v>
      </c>
      <c r="N549" s="93">
        <f>N550+N551+N552+N553+N554</f>
        <v>76914</v>
      </c>
      <c r="O549" s="93">
        <f t="shared" ca="1" si="237"/>
        <v>22.067101616429394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801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801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801">
        <v>37264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801">
        <v>39650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5">I576</f>
        <v>25837</v>
      </c>
      <c r="J559" s="675">
        <f t="shared" si="245"/>
        <v>0</v>
      </c>
      <c r="K559" s="644">
        <f t="shared" ref="K559:K561" ca="1" si="246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9"/>
      <c r="H560" s="734" t="s">
        <v>46</v>
      </c>
      <c r="I560" s="193">
        <f ca="1">IFERROR(__xludf.DUMMYFUNCTION("IMPORTRANGE(""https://docs.google.com/spreadsheets/d/1QqKyyYR6Q21VydFLVH3TRQUabQu_ym0Zz7PgGX0-kHA/edit?usp=sharing"",""แผน!HH20"")"),25837)</f>
        <v>25837</v>
      </c>
      <c r="J560" s="193">
        <f t="shared" ref="J560:J561" si="247">J562+J564+J566</f>
        <v>25837.94</v>
      </c>
      <c r="K560" s="380">
        <f t="shared" ca="1" si="246"/>
        <v>100.00363819328869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9"/>
      <c r="H561" s="734" t="s">
        <v>34</v>
      </c>
      <c r="I561" s="193">
        <f ca="1">IFERROR(__xludf.DUMMYFUNCTION("IMPORTRANGE(""https://docs.google.com/spreadsheets/d/1QqKyyYR6Q21VydFLVH3TRQUabQu_ym0Zz7PgGX0-kHA/edit?usp=sharing"",""แผน!HG20"")"),4200)</f>
        <v>4200</v>
      </c>
      <c r="J561" s="193">
        <f t="shared" si="247"/>
        <v>4200</v>
      </c>
      <c r="K561" s="380">
        <f t="shared" ca="1" si="246"/>
        <v>100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f>21133+204.6</f>
        <v>21337.599999999999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f>3195+322</f>
        <v>3517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f>4265+16</f>
        <v>4281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f>629+22</f>
        <v>651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f>211+8.34</f>
        <v>219.34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f>30+2</f>
        <v>32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9"/>
      <c r="H568" s="734" t="s">
        <v>46</v>
      </c>
      <c r="I568" s="193">
        <f ca="1">IFERROR(__xludf.DUMMYFUNCTION("IMPORTRANGE(""https://docs.google.com/spreadsheets/d/1QqKyyYR6Q21VydFLVH3TRQUabQu_ym0Zz7PgGX0-kHA/edit?usp=sharing"",""แผน!HH20"")"),25837)</f>
        <v>25837</v>
      </c>
      <c r="J568" s="648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9"/>
      <c r="H569" s="734" t="s">
        <v>34</v>
      </c>
      <c r="I569" s="193">
        <f ca="1">IFERROR(__xludf.DUMMYFUNCTION("IMPORTRANGE(""https://docs.google.com/spreadsheets/d/1QqKyyYR6Q21VydFLVH3TRQUabQu_ym0Zz7PgGX0-kHA/edit?usp=sharing"",""แผน!HG20"")"),4200)</f>
        <v>4200</v>
      </c>
      <c r="J569" s="648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9"/>
      <c r="H576" s="734" t="s">
        <v>46</v>
      </c>
      <c r="I576" s="193">
        <f ca="1">IFERROR(__xludf.DUMMYFUNCTION("IMPORTRANGE(""https://docs.google.com/spreadsheets/d/1QqKyyYR6Q21VydFLVH3TRQUabQu_ym0Zz7PgGX0-kHA/edit?usp=sharing"",""แผน!HH20"")"),25837)</f>
        <v>25837</v>
      </c>
      <c r="J576" s="648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9"/>
      <c r="H577" s="734" t="s">
        <v>34</v>
      </c>
      <c r="I577" s="193">
        <f ca="1">IFERROR(__xludf.DUMMYFUNCTION("IMPORTRANGE(""https://docs.google.com/spreadsheets/d/1QqKyyYR6Q21VydFLVH3TRQUabQu_ym0Zz7PgGX0-kHA/edit?usp=sharing"",""แผน!HG20"")"),4200)</f>
        <v>4200</v>
      </c>
      <c r="J577" s="648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3">I593</f>
        <v>795.13</v>
      </c>
      <c r="J592" s="675">
        <f t="shared" si="253"/>
        <v>0</v>
      </c>
      <c r="K592" s="644">
        <f t="shared" ref="K592:K594" ca="1" si="254">IF(I592&gt;0,J592*100/I592,0)</f>
        <v>0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IFERROR(__xludf.DUMMYFUNCTION("IMPORTRANGE(""https://docs.google.com/spreadsheets/d/1QqKyyYR6Q21VydFLVH3TRQUabQu_ym0Zz7PgGX0-kHA/edit?usp=sharing"",""แผน!HJ20"")"),795.13)</f>
        <v>795.13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IFERROR(__xludf.DUMMYFUNCTION("IMPORTRANGE(""https://docs.google.com/spreadsheets/d/1QqKyyYR6Q21VydFLVH3TRQUabQu_ym0Zz7PgGX0-kHA/edit?usp=sharing"",""แผน!HI20"")"),89)</f>
        <v>89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 hidden="1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8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59">J614+J616</f>
        <v>0</v>
      </c>
      <c r="K612" s="684">
        <f t="shared" si="258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59"/>
        <v>0</v>
      </c>
      <c r="K613" s="684">
        <f t="shared" si="258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 hidden="1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IFERROR(__xludf.DUMMYFUNCTION("IMPORTRANGE(""https://docs.google.com/spreadsheets/d/1QqKyyYR6Q21VydFLVH3TRQUabQu_ym0Zz7PgGX0-kHA/edit?usp=sharing"",""แผน!HL20"")"),0)</f>
        <v>0</v>
      </c>
      <c r="J620" s="695">
        <f t="shared" ref="J620:J621" si="260">J622+J624+J626</f>
        <v>0</v>
      </c>
      <c r="K620" s="696">
        <f t="shared" ref="K620:K621" ca="1" si="261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 hidden="1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IFERROR(__xludf.DUMMYFUNCTION("IMPORTRANGE(""https://docs.google.com/spreadsheets/d/1QqKyyYR6Q21VydFLVH3TRQUabQu_ym0Zz7PgGX0-kHA/edit?usp=sharing"",""แผน!HK20"")"),0)</f>
        <v>0</v>
      </c>
      <c r="J621" s="695">
        <f t="shared" si="260"/>
        <v>0</v>
      </c>
      <c r="K621" s="696">
        <f t="shared" ca="1" si="261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 hidden="1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 hidden="1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 hidden="1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 hidden="1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 hidden="1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 hidden="1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262">I651</f>
        <v>60</v>
      </c>
      <c r="J628" s="708">
        <f t="shared" ca="1" si="262"/>
        <v>0</v>
      </c>
      <c r="K628" s="709">
        <f ca="1">IF(I628&gt;0,J628*100/I628,0)</f>
        <v>0</v>
      </c>
      <c r="L628" s="710"/>
      <c r="M628" s="710"/>
      <c r="N628" s="710"/>
      <c r="O628" s="710"/>
      <c r="P628" s="710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336260</v>
      </c>
      <c r="M629" s="195">
        <f t="shared" si="263"/>
        <v>0</v>
      </c>
      <c r="N629" s="195">
        <f t="shared" si="263"/>
        <v>110720</v>
      </c>
      <c r="O629" s="195">
        <f t="shared" ref="O629:O634" ca="1" si="264">IF(L629&gt;0,N629*100/L629,0)</f>
        <v>32.926901802176886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6"/>
        <v>336260</v>
      </c>
      <c r="M631" s="93">
        <f t="shared" si="266"/>
        <v>0</v>
      </c>
      <c r="N631" s="93">
        <f t="shared" si="266"/>
        <v>110720</v>
      </c>
      <c r="O631" s="93">
        <f t="shared" ca="1" si="264"/>
        <v>32.926901802176886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7">L633+L634</f>
        <v>336260</v>
      </c>
      <c r="M632" s="466">
        <f t="shared" si="267"/>
        <v>0</v>
      </c>
      <c r="N632" s="466">
        <f t="shared" si="267"/>
        <v>110720</v>
      </c>
      <c r="O632" s="466">
        <f t="shared" ca="1" si="264"/>
        <v>32.926901802176886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IFERROR(__xludf.DUMMYFUNCTION("IMPORTRANGE(""https://docs.google.com/spreadsheets/d/1QqKyyYR6Q21VydFLVH3TRQUabQu_ym0Zz7PgGX0-kHA/edit?usp=sharing"",""แผน!HN20"")"),336260)</f>
        <v>336260</v>
      </c>
      <c r="M634" s="93">
        <v>0</v>
      </c>
      <c r="N634" s="93">
        <f>N635+N636+N637+N638</f>
        <v>110720</v>
      </c>
      <c r="O634" s="93">
        <f t="shared" ca="1" si="264"/>
        <v>32.926901802176886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39000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v>71720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IFERROR(__xludf.DUMMYFUNCTION("IMPORTRANGE(""https://docs.google.com/spreadsheets/d/1QqKyyYR6Q21VydFLVH3TRQUabQu_ym0Zz7PgGX0-kHA/edit?usp=sharing"",""แผน!HR20"")"),0)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IFERROR(__xludf.DUMMYFUNCTION("IMPORTRANGE(""https://docs.google.com/spreadsheets/d/1QqKyyYR6Q21VydFLVH3TRQUabQu_ym0Zz7PgGX0-kHA/edit?usp=sharing"",""แผน!HR20"")"),0)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IFERROR(__xludf.DUMMYFUNCTION("IMPORTRANGE(""https://docs.google.com/spreadsheets/d/1XWAQStnk-4SwqDmLtmXYiTMKHgktTP8We1SCoS47DrQ/edit?usp=sharing"",""จัดที่ดิน!AS20"")"),117)</f>
        <v>117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IFERROR(__xludf.DUMMYFUNCTION("IMPORTRANGE(""https://docs.google.com/spreadsheets/d/1XWAQStnk-4SwqDmLtmXYiTMKHgktTP8We1SCoS47DrQ/edit?usp=sharing"",""จัดที่ดิน!AT20"")"),60)</f>
        <v>60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IFERROR(__xludf.DUMMYFUNCTION("IMPORTRANGE(""https://docs.google.com/spreadsheets/d/1QqKyyYR6Q21VydFLVH3TRQUabQu_ym0Zz7PgGX0-kHA/edit?usp=sharing"",""แผน!HS20"")"),60)</f>
        <v>60</v>
      </c>
      <c r="J647" s="270">
        <f ca="1">IFERROR(__xludf.DUMMYFUNCTION("IMPORTRANGE(""https://docs.google.com/spreadsheets/d/1XWAQStnk-4SwqDmLtmXYiTMKHgktTP8We1SCoS47DrQ/edit?usp=sharing"",""จัดที่ดิน!AU20"")"),66)</f>
        <v>66</v>
      </c>
      <c r="K647" s="163">
        <f t="shared" ca="1" si="271"/>
        <v>110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IFERROR(__xludf.DUMMYFUNCTION("IMPORTRANGE(""https://docs.google.com/spreadsheets/d/1XWAQStnk-4SwqDmLtmXYiTMKHgktTP8We1SCoS47DrQ/edit?usp=sharing"",""จัดที่ดิน!AV20"")"),35.27)</f>
        <v>35.270000000000003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IFERROR(__xludf.DUMMYFUNCTION("IMPORTRANGE(""https://docs.google.com/spreadsheets/d/1QqKyyYR6Q21VydFLVH3TRQUabQu_ym0Zz7PgGX0-kHA/edit?usp=sharing"",""แผน!HS20"")"),60)</f>
        <v>60</v>
      </c>
      <c r="J649" s="270">
        <f ca="1">IFERROR(__xludf.DUMMYFUNCTION("IMPORTRANGE(""https://docs.google.com/spreadsheets/d/1XWAQStnk-4SwqDmLtmXYiTMKHgktTP8We1SCoS47DrQ/edit?usp=sharing"",""จัดที่ดิน!AW20"")"),3)</f>
        <v>3</v>
      </c>
      <c r="K649" s="163">
        <f t="shared" ca="1" si="271"/>
        <v>5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IFERROR(__xludf.DUMMYFUNCTION("IMPORTRANGE(""https://docs.google.com/spreadsheets/d/1XWAQStnk-4SwqDmLtmXYiTMKHgktTP8We1SCoS47DrQ/edit?usp=sharing"",""จัดที่ดิน!AX20"")"),5.74)</f>
        <v>5.74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IFERROR(__xludf.DUMMYFUNCTION("IMPORTRANGE(""https://docs.google.com/spreadsheets/d/1QqKyyYR6Q21VydFLVH3TRQUabQu_ym0Zz7PgGX0-kHA/edit?usp=sharing"",""แผน!HS20"")"),60)</f>
        <v>60</v>
      </c>
      <c r="J651" s="270">
        <f ca="1">IFERROR(__xludf.DUMMYFUNCTION("IMPORTRANGE(""https://docs.google.com/spreadsheets/d/1XWAQStnk-4SwqDmLtmXYiTMKHgktTP8We1SCoS47DrQ/edit?usp=sharing"",""จัดที่ดิน!AY20"")"),0)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IFERROR(__xludf.DUMMYFUNCTION("IMPORTRANGE(""https://docs.google.com/spreadsheets/d/1XWAQStnk-4SwqDmLtmXYiTMKHgktTP8We1SCoS47DrQ/edit?usp=sharing"",""จัดที่ดิน!AZ20"")"),0)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2">I669</f>
        <v>50</v>
      </c>
      <c r="J654" s="675">
        <f t="shared" si="27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1000</v>
      </c>
      <c r="O655" s="195">
        <f t="shared" ref="O655:O660" ca="1" si="274">IF(L655&gt;0,N655*100/L655,0)</f>
        <v>10.638297872340425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1000</v>
      </c>
      <c r="O657" s="93">
        <f t="shared" ca="1" si="274"/>
        <v>10.638297872340425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si="277"/>
        <v>0</v>
      </c>
      <c r="N658" s="466">
        <f t="shared" si="277"/>
        <v>1000</v>
      </c>
      <c r="O658" s="466">
        <f t="shared" ca="1" si="274"/>
        <v>10.638297872340425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IFERROR(__xludf.DUMMYFUNCTION("IMPORTRANGE(""https://docs.google.com/spreadsheets/d/1QqKyyYR6Q21VydFLVH3TRQUabQu_ym0Zz7PgGX0-kHA/edit?usp=sharing"",""แผน!HV20"")"),9400)</f>
        <v>9400</v>
      </c>
      <c r="M660" s="93">
        <v>0</v>
      </c>
      <c r="N660" s="93">
        <f>N661+N662+N663+N664</f>
        <v>1000</v>
      </c>
      <c r="O660" s="93">
        <f t="shared" ca="1" si="274"/>
        <v>10.638297872340425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v>1000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IFERROR(__xludf.DUMMYFUNCTION("IMPORTRANGE(""https://docs.google.com/spreadsheets/d/1QqKyyYR6Q21VydFLVH3TRQUabQu_ym0Zz7PgGX0-kHA/edit?usp=sharing"",""แผน!IA20"")"),50)</f>
        <v>50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IFERROR(__xludf.DUMMYFUNCTION("IMPORTRANGE(""https://docs.google.com/spreadsheets/d/1QqKyyYR6Q21VydFLVH3TRQUabQu_ym0Zz7PgGX0-kHA/edit?usp=sharing"",""แผน!HZ20"")"),4)</f>
        <v>4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IFERROR(__xludf.DUMMYFUNCTION("IMPORTRANGE(""https://docs.google.com/spreadsheets/d/1QqKyyYR6Q21VydFLVH3TRQUabQu_ym0Zz7PgGX0-kHA/edit?usp=sharing"",""แผน!HZ20"")"),4)</f>
        <v>4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IFERROR(__xludf.DUMMYFUNCTION("IMPORTRANGE(""https://docs.google.com/spreadsheets/d/1QqKyyYR6Q21VydFLVH3TRQUabQu_ym0Zz7PgGX0-kHA/edit?usp=sharing"",""แผน!IB20"")"),0)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13000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5"/>
        <v>13000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6">L689+L690</f>
        <v>13000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IFERROR(__xludf.DUMMYFUNCTION("IMPORTRANGE(""https://docs.google.com/spreadsheets/d/1QqKyyYR6Q21VydFLVH3TRQUabQu_ym0Zz7PgGX0-kHA/edit?usp=sharing"",""แผน!HW20"")"),13000)</f>
        <v>13000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IFERROR(__xludf.DUMMYFUNCTION("IMPORTRANGE(""https://docs.google.com/spreadsheets/d/1QqKyyYR6Q21VydFLVH3TRQUabQu_ym0Zz7PgGX0-kHA/edit?usp=sharing"",""แผน!IC20"")"),0)</f>
        <v>0</v>
      </c>
      <c r="J699" s="270">
        <f ca="1">IFERROR(__xludf.DUMMYFUNCTION("IMPORTRANGE(""https://docs.google.com/spreadsheets/d/1XWAQStnk-4SwqDmLtmXYiTMKHgktTP8We1SCoS47DrQ/edit?usp=sharing"",""จัดที่ดิน!BB20"")"),0)</f>
        <v>0</v>
      </c>
      <c r="K699" s="466">
        <f t="shared" ref="K699:K701" ca="1" si="290">IF(I699&gt;0,J699*100/I699,0)</f>
        <v>0</v>
      </c>
      <c r="L699" s="466"/>
      <c r="M699" s="189"/>
      <c r="N699" s="733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IFERROR(__xludf.DUMMYFUNCTION("IMPORTRANGE(""https://docs.google.com/spreadsheets/d/1QqKyyYR6Q21VydFLVH3TRQUabQu_ym0Zz7PgGX0-kHA/edit?usp=sharing"",""แผน!ID20"")"),100)</f>
        <v>100</v>
      </c>
      <c r="J700" s="270">
        <f ca="1">IFERROR(__xludf.DUMMYFUNCTION("IMPORTRANGE(""https://docs.google.com/spreadsheets/d/1XWAQStnk-4SwqDmLtmXYiTMKHgktTP8We1SCoS47DrQ/edit?usp=sharing"",""จัดที่ดิน!BD20"")"),0)</f>
        <v>0</v>
      </c>
      <c r="K700" s="466">
        <f t="shared" ca="1" si="290"/>
        <v>0</v>
      </c>
      <c r="L700" s="466"/>
      <c r="M700" s="189"/>
      <c r="N700" s="733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IFERROR(__xludf.DUMMYFUNCTION("IMPORTRANGE(""https://docs.google.com/spreadsheets/d/1QqKyyYR6Q21VydFLVH3TRQUabQu_ym0Zz7PgGX0-kHA/edit?usp=sharing"",""แผน!IE20"")"),0)</f>
        <v>0</v>
      </c>
      <c r="J701" s="648">
        <f>J704+J707</f>
        <v>0</v>
      </c>
      <c r="K701" s="195">
        <f t="shared" ca="1" si="290"/>
        <v>0</v>
      </c>
      <c r="L701" s="466"/>
      <c r="M701" s="189"/>
      <c r="N701" s="733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IFERROR(__xludf.DUMMYFUNCTION("IMPORTRANGE(""https://docs.google.com/spreadsheets/d/1QqKyyYR6Q21VydFLVH3TRQUabQu_ym0Zz7PgGX0-kHA/edit?usp=sharing"",""แผน!IF20"")"),0)</f>
        <v>0</v>
      </c>
      <c r="J704" s="215">
        <v>0</v>
      </c>
      <c r="K704" s="466"/>
      <c r="L704" s="466"/>
      <c r="M704" s="189"/>
      <c r="N704" s="733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0</v>
      </c>
      <c r="K705" s="466"/>
      <c r="L705" s="466"/>
      <c r="M705" s="189"/>
      <c r="N705" s="733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0</v>
      </c>
      <c r="K706" s="466"/>
      <c r="L706" s="466"/>
      <c r="M706" s="189"/>
      <c r="N706" s="733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IFERROR(__xludf.DUMMYFUNCTION("IMPORTRANGE(""https://docs.google.com/spreadsheets/d/1QqKyyYR6Q21VydFLVH3TRQUabQu_ym0Zz7PgGX0-kHA/edit?usp=sharing"",""แผน!IG20"")"),0)</f>
        <v>0</v>
      </c>
      <c r="J707" s="215">
        <v>0</v>
      </c>
      <c r="K707" s="466"/>
      <c r="L707" s="466"/>
      <c r="M707" s="189"/>
      <c r="N707" s="733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IFERROR(__xludf.DUMMYFUNCTION("IMPORTRANGE(""https://docs.google.com/spreadsheets/d/1QqKyyYR6Q21VydFLVH3TRQUabQu_ym0Zz7PgGX0-kHA/edit?usp=sharing"",""แผน!IH20"")"),0)</f>
        <v>0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IFERROR(__xludf.DUMMYFUNCTION("IMPORTRANGE(""https://docs.google.com/spreadsheets/d/1XWAQStnk-4SwqDmLtmXYiTMKHgktTP8We1SCoS47DrQ/edit?usp=sharing"",""จัดที่ดิน!BF20"")"),0)</f>
        <v>0</v>
      </c>
      <c r="K718" s="466"/>
      <c r="L718" s="466"/>
      <c r="M718" s="189"/>
      <c r="N718" s="733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IFERROR(__xludf.DUMMYFUNCTION("IMPORTRANGE(""https://docs.google.com/spreadsheets/d/1XWAQStnk-4SwqDmLtmXYiTMKHgktTP8We1SCoS47DrQ/edit?usp=sharing"",""จัดที่ดิน!BG20"")"),0)</f>
        <v>0</v>
      </c>
      <c r="K719" s="466"/>
      <c r="L719" s="733"/>
      <c r="M719" s="189"/>
      <c r="N719" s="733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IFERROR(__xludf.DUMMYFUNCTION("IMPORTRANGE(""https://docs.google.com/spreadsheets/d/1QqKyyYR6Q21VydFLVH3TRQUabQu_ym0Zz7PgGX0-kHA/edit?usp=sharing"",""แผน!II20"")"),0)</f>
        <v>0</v>
      </c>
      <c r="J720" s="270">
        <f ca="1">IFERROR(__xludf.DUMMYFUNCTION("IMPORTRANGE(""https://docs.google.com/spreadsheets/d/1XWAQStnk-4SwqDmLtmXYiTMKHgktTP8We1SCoS47DrQ/edit?usp=sharing"",""จัดที่ดิน!BH20"")"),0)</f>
        <v>0</v>
      </c>
      <c r="K720" s="466">
        <f t="shared" ref="K720:K723" ca="1" si="291">IF(I720&gt;0,J720*100/I720,0)</f>
        <v>0</v>
      </c>
      <c r="L720" s="733"/>
      <c r="M720" s="189"/>
      <c r="N720" s="733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IFERROR(__xludf.DUMMYFUNCTION("IMPORTRANGE(""https://docs.google.com/spreadsheets/d/1QqKyyYR6Q21VydFLVH3TRQUabQu_ym0Zz7PgGX0-kHA/edit?usp=sharing"",""แผน!IJ20"")"),0)</f>
        <v>0</v>
      </c>
      <c r="J721" s="648">
        <f ca="1">J723+J726</f>
        <v>0</v>
      </c>
      <c r="K721" s="195">
        <f t="shared" ca="1" si="291"/>
        <v>0</v>
      </c>
      <c r="L721" s="733"/>
      <c r="M721" s="189"/>
      <c r="N721" s="733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IFERROR(__xludf.DUMMYFUNCTION("IMPORTRANGE(""https://docs.google.com/spreadsheets/d/1QqKyyYR6Q21VydFLVH3TRQUabQu_ym0Zz7PgGX0-kHA/edit?usp=sharing"",""แผน!IK20"")"),0)</f>
        <v>0</v>
      </c>
      <c r="J722" s="648">
        <f ca="1">J725+J728</f>
        <v>0</v>
      </c>
      <c r="K722" s="195">
        <f t="shared" ca="1" si="291"/>
        <v>0</v>
      </c>
      <c r="L722" s="466"/>
      <c r="M722" s="189"/>
      <c r="N722" s="733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IFERROR(__xludf.DUMMYFUNCTION("IMPORTRANGE(""https://docs.google.com/spreadsheets/d/1QqKyyYR6Q21VydFLVH3TRQUabQu_ym0Zz7PgGX0-kHA/edit?usp=sharing"",""แผน!IL20"")"),0)</f>
        <v>0</v>
      </c>
      <c r="J723" s="270">
        <f ca="1">IFERROR(__xludf.DUMMYFUNCTION("IMPORTRANGE(""https://docs.google.com/spreadsheets/d/1XWAQStnk-4SwqDmLtmXYiTMKHgktTP8We1SCoS47DrQ/edit?usp=sharing"",""จัดที่ดิน!BM20"")"),0)</f>
        <v>0</v>
      </c>
      <c r="K723" s="466">
        <f t="shared" ca="1" si="291"/>
        <v>0</v>
      </c>
      <c r="L723" s="466"/>
      <c r="M723" s="189"/>
      <c r="N723" s="733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IFERROR(__xludf.DUMMYFUNCTION("IMPORTRANGE(""https://docs.google.com/spreadsheets/d/1XWAQStnk-4SwqDmLtmXYiTMKHgktTP8We1SCoS47DrQ/edit?usp=sharing"",""จัดที่ดิน!BN20"")"),0)</f>
        <v>0</v>
      </c>
      <c r="K724" s="466"/>
      <c r="L724" s="733"/>
      <c r="M724" s="189"/>
      <c r="N724" s="733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IFERROR(__xludf.DUMMYFUNCTION("IMPORTRANGE(""https://docs.google.com/spreadsheets/d/1QqKyyYR6Q21VydFLVH3TRQUabQu_ym0Zz7PgGX0-kHA/edit?usp=sharing"",""แผน!IM20"")"),0)</f>
        <v>0</v>
      </c>
      <c r="J725" s="270">
        <f ca="1">IFERROR(__xludf.DUMMYFUNCTION("IMPORTRANGE(""https://docs.google.com/spreadsheets/d/1XWAQStnk-4SwqDmLtmXYiTMKHgktTP8We1SCoS47DrQ/edit?usp=sharing"",""จัดที่ดิน!BO20"")"),0)</f>
        <v>0</v>
      </c>
      <c r="K725" s="466">
        <f t="shared" ref="K725:K726" ca="1" si="292">IF(I725&gt;0,J725*100/I725,0)</f>
        <v>0</v>
      </c>
      <c r="L725" s="733"/>
      <c r="M725" s="189"/>
      <c r="N725" s="733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IFERROR(__xludf.DUMMYFUNCTION("IMPORTRANGE(""https://docs.google.com/spreadsheets/d/1QqKyyYR6Q21VydFLVH3TRQUabQu_ym0Zz7PgGX0-kHA/edit?usp=sharing"",""แผน!IN20"")"),0)</f>
        <v>0</v>
      </c>
      <c r="J726" s="270">
        <f ca="1">IFERROR(__xludf.DUMMYFUNCTION("IMPORTRANGE(""https://docs.google.com/spreadsheets/d/1XWAQStnk-4SwqDmLtmXYiTMKHgktTP8We1SCoS47DrQ/edit?usp=sharing"",""จัดที่ดิน!BR20"")"),0)</f>
        <v>0</v>
      </c>
      <c r="K726" s="466">
        <f t="shared" ca="1" si="292"/>
        <v>0</v>
      </c>
      <c r="L726" s="466"/>
      <c r="M726" s="189"/>
      <c r="N726" s="733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IFERROR(__xludf.DUMMYFUNCTION("IMPORTRANGE(""https://docs.google.com/spreadsheets/d/1XWAQStnk-4SwqDmLtmXYiTMKHgktTP8We1SCoS47DrQ/edit?usp=sharing"",""จัดที่ดิน!BS20"")"),0)</f>
        <v>0</v>
      </c>
      <c r="K727" s="466"/>
      <c r="L727" s="733"/>
      <c r="M727" s="189"/>
      <c r="N727" s="733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IFERROR(__xludf.DUMMYFUNCTION("IMPORTRANGE(""https://docs.google.com/spreadsheets/d/1QqKyyYR6Q21VydFLVH3TRQUabQu_ym0Zz7PgGX0-kHA/edit?usp=sharing"",""แผน!IO20"")"),0)</f>
        <v>0</v>
      </c>
      <c r="J728" s="270">
        <f ca="1">IFERROR(__xludf.DUMMYFUNCTION("IMPORTRANGE(""https://docs.google.com/spreadsheets/d/1XWAQStnk-4SwqDmLtmXYiTMKHgktTP8We1SCoS47DrQ/edit?usp=sharing"",""จัดที่ดิน!BT20"")"),0)</f>
        <v>0</v>
      </c>
      <c r="K728" s="466">
        <f t="shared" ref="K728:K729" ca="1" si="293">IF(I728&gt;0,J728*100/I728,0)</f>
        <v>0</v>
      </c>
      <c r="L728" s="733"/>
      <c r="M728" s="189"/>
      <c r="N728" s="733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IFERROR(__xludf.DUMMYFUNCTION("IMPORTRANGE(""https://docs.google.com/spreadsheets/d/1QqKyyYR6Q21VydFLVH3TRQUabQu_ym0Zz7PgGX0-kHA/edit?usp=sharing"",""แผน!IP20"")"),0)</f>
        <v>0</v>
      </c>
      <c r="J729" s="648">
        <f>J732+J735</f>
        <v>0</v>
      </c>
      <c r="K729" s="195">
        <f t="shared" ca="1" si="293"/>
        <v>0</v>
      </c>
      <c r="L729" s="466"/>
      <c r="M729" s="189"/>
      <c r="N729" s="733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0</v>
      </c>
      <c r="K730" s="466"/>
      <c r="L730" s="733"/>
      <c r="M730" s="466"/>
      <c r="N730" s="733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0</v>
      </c>
      <c r="K731" s="466"/>
      <c r="L731" s="733"/>
      <c r="M731" s="466"/>
      <c r="N731" s="733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0</v>
      </c>
      <c r="K732" s="466"/>
      <c r="L732" s="733"/>
      <c r="M732" s="466"/>
      <c r="N732" s="733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0</v>
      </c>
      <c r="K733" s="466"/>
      <c r="L733" s="733"/>
      <c r="M733" s="466"/>
      <c r="N733" s="733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0</v>
      </c>
      <c r="K734" s="466"/>
      <c r="L734" s="733"/>
      <c r="M734" s="466"/>
      <c r="N734" s="733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0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4">L738+L739</f>
        <v>0</v>
      </c>
      <c r="M737" s="614">
        <f t="shared" si="294"/>
        <v>0</v>
      </c>
      <c r="N737" s="614">
        <f t="shared" si="294"/>
        <v>0</v>
      </c>
      <c r="O737" s="614">
        <f t="shared" ref="O737:O742" si="295">IF(L737&gt;0,N737*100/L737,0)</f>
        <v>0</v>
      </c>
      <c r="P737" s="614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6"/>
      <c r="D740" s="805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8">L741+L742</f>
        <v>0</v>
      </c>
      <c r="M740" s="614">
        <f t="shared" si="298"/>
        <v>0</v>
      </c>
      <c r="N740" s="614">
        <f t="shared" si="298"/>
        <v>0</v>
      </c>
      <c r="O740" s="614">
        <f t="shared" si="295"/>
        <v>0</v>
      </c>
      <c r="P740" s="614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6"/>
      <c r="D747" s="805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299">L748+L749</f>
        <v>0</v>
      </c>
      <c r="M747" s="614">
        <f t="shared" si="299"/>
        <v>0</v>
      </c>
      <c r="N747" s="614">
        <f t="shared" si="299"/>
        <v>0</v>
      </c>
      <c r="O747" s="614">
        <f t="shared" ref="O747:O749" si="300">IF(L747&gt;0,N747*100/L747,0)</f>
        <v>0</v>
      </c>
      <c r="P747" s="614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2">L755+L756</f>
        <v>0</v>
      </c>
      <c r="M754" s="614">
        <f t="shared" si="302"/>
        <v>0</v>
      </c>
      <c r="N754" s="614">
        <f t="shared" si="302"/>
        <v>0</v>
      </c>
      <c r="O754" s="614">
        <f t="shared" ref="O754:O759" si="303">IF(L754&gt;0,N754*100/L754,0)</f>
        <v>0</v>
      </c>
      <c r="P754" s="614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6"/>
      <c r="D757" s="805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6">L758+L759</f>
        <v>0</v>
      </c>
      <c r="M757" s="614">
        <f t="shared" si="306"/>
        <v>0</v>
      </c>
      <c r="N757" s="614">
        <f t="shared" si="306"/>
        <v>0</v>
      </c>
      <c r="O757" s="614">
        <f t="shared" si="303"/>
        <v>0</v>
      </c>
      <c r="P757" s="614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6"/>
      <c r="D764" s="805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7">L765+L766</f>
        <v>0</v>
      </c>
      <c r="M764" s="614">
        <f t="shared" si="307"/>
        <v>0</v>
      </c>
      <c r="N764" s="614">
        <f t="shared" si="307"/>
        <v>0</v>
      </c>
      <c r="O764" s="614">
        <f t="shared" ref="O764:O766" si="308">IF(L764&gt;0,N764*100/L764,0)</f>
        <v>0</v>
      </c>
      <c r="P764" s="614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0">L771+L772</f>
        <v>0</v>
      </c>
      <c r="M770" s="614">
        <f t="shared" si="310"/>
        <v>0</v>
      </c>
      <c r="N770" s="614">
        <f t="shared" si="310"/>
        <v>0</v>
      </c>
      <c r="O770" s="614">
        <f t="shared" ref="O770:O775" si="311">IF(L770&gt;0,N770*100/L770,0)</f>
        <v>0</v>
      </c>
      <c r="P770" s="614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6"/>
      <c r="D773" s="805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4">L774+L775</f>
        <v>0</v>
      </c>
      <c r="M773" s="614">
        <f t="shared" si="314"/>
        <v>0</v>
      </c>
      <c r="N773" s="614">
        <f t="shared" si="314"/>
        <v>0</v>
      </c>
      <c r="O773" s="614">
        <f t="shared" si="311"/>
        <v>0</v>
      </c>
      <c r="P773" s="614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6"/>
      <c r="D780" s="805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5">L781+L782</f>
        <v>0</v>
      </c>
      <c r="M780" s="614">
        <f t="shared" si="315"/>
        <v>0</v>
      </c>
      <c r="N780" s="614">
        <f t="shared" si="315"/>
        <v>0</v>
      </c>
      <c r="O780" s="614">
        <f t="shared" ref="O780:O782" si="316">IF(L780&gt;0,N780*100/L780,0)</f>
        <v>0</v>
      </c>
      <c r="P780" s="614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 hidden="1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773" t="s">
        <v>46</v>
      </c>
      <c r="I785" s="863">
        <f t="shared" ref="I785:J785" ca="1" si="318">I800</f>
        <v>0</v>
      </c>
      <c r="J785" s="774">
        <f t="shared" ca="1" si="318"/>
        <v>0</v>
      </c>
      <c r="K785" s="775">
        <f ca="1">IF(I785&gt;0,J785*100/I785,0)</f>
        <v>0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 hidden="1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563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6"/>
      <c r="D787" s="687"/>
      <c r="E787" s="726" t="s">
        <v>184</v>
      </c>
      <c r="F787" s="726"/>
      <c r="G787" s="568"/>
      <c r="H787" s="165" t="s">
        <v>12</v>
      </c>
      <c r="I787" s="584"/>
      <c r="J787" s="584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6" t="s">
        <v>185</v>
      </c>
      <c r="F788" s="726"/>
      <c r="G788" s="568"/>
      <c r="H788" s="165" t="s">
        <v>12</v>
      </c>
      <c r="I788" s="584"/>
      <c r="J788" s="584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 hidden="1">
      <c r="A789" s="562"/>
      <c r="B789" s="539"/>
      <c r="C789" s="539"/>
      <c r="D789" s="571" t="s">
        <v>20</v>
      </c>
      <c r="E789" s="730"/>
      <c r="F789" s="730"/>
      <c r="G789" s="189"/>
      <c r="H789" s="779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6" t="s">
        <v>184</v>
      </c>
      <c r="F790" s="726"/>
      <c r="G790" s="568"/>
      <c r="H790" s="165" t="s">
        <v>12</v>
      </c>
      <c r="I790" s="584"/>
      <c r="J790" s="584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6" t="s">
        <v>185</v>
      </c>
      <c r="F791" s="726"/>
      <c r="G791" s="568"/>
      <c r="H791" s="165" t="s">
        <v>12</v>
      </c>
      <c r="I791" s="584"/>
      <c r="J791" s="584"/>
      <c r="K791" s="93"/>
      <c r="L791" s="93">
        <f ca="1">IFERROR(__xludf.DUMMYFUNCTION("IMPORTRANGE(""https://docs.google.com/spreadsheets/d/1QqKyyYR6Q21VydFLVH3TRQUabQu_ym0Zz7PgGX0-kHA/edit?usp=sharing"",""แผน!JJ20"")"),0)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 hidden="1">
      <c r="A792" s="538"/>
      <c r="B792" s="539"/>
      <c r="C792" s="730"/>
      <c r="D792" s="730"/>
      <c r="E792" s="730"/>
      <c r="F792" s="730" t="s">
        <v>186</v>
      </c>
      <c r="G792" s="189"/>
      <c r="H792" s="779" t="s">
        <v>12</v>
      </c>
      <c r="I792" s="270"/>
      <c r="J792" s="270"/>
      <c r="K792" s="466"/>
      <c r="L792" s="466"/>
      <c r="M792" s="466"/>
      <c r="N792" s="801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 hidden="1">
      <c r="A793" s="538"/>
      <c r="B793" s="539"/>
      <c r="C793" s="730"/>
      <c r="D793" s="730"/>
      <c r="E793" s="730"/>
      <c r="F793" s="730" t="s">
        <v>187</v>
      </c>
      <c r="G793" s="189"/>
      <c r="H793" s="779" t="s">
        <v>12</v>
      </c>
      <c r="I793" s="270"/>
      <c r="J793" s="270"/>
      <c r="K793" s="466"/>
      <c r="L793" s="466"/>
      <c r="M793" s="466"/>
      <c r="N793" s="801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 hidden="1">
      <c r="A794" s="538"/>
      <c r="B794" s="539"/>
      <c r="C794" s="730"/>
      <c r="D794" s="730"/>
      <c r="E794" s="730"/>
      <c r="F794" s="730" t="s">
        <v>188</v>
      </c>
      <c r="G794" s="189"/>
      <c r="H794" s="779" t="s">
        <v>12</v>
      </c>
      <c r="I794" s="270"/>
      <c r="J794" s="270"/>
      <c r="K794" s="466"/>
      <c r="L794" s="466"/>
      <c r="M794" s="466"/>
      <c r="N794" s="801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 hidden="1">
      <c r="A795" s="538"/>
      <c r="B795" s="539"/>
      <c r="C795" s="730"/>
      <c r="D795" s="730"/>
      <c r="E795" s="730"/>
      <c r="F795" s="730" t="s">
        <v>189</v>
      </c>
      <c r="G795" s="189"/>
      <c r="H795" s="779" t="s">
        <v>12</v>
      </c>
      <c r="I795" s="270"/>
      <c r="J795" s="270"/>
      <c r="K795" s="466"/>
      <c r="L795" s="466"/>
      <c r="M795" s="466"/>
      <c r="N795" s="801">
        <v>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 hidden="1">
      <c r="A796" s="562"/>
      <c r="B796" s="539"/>
      <c r="C796" s="730"/>
      <c r="D796" s="571" t="s">
        <v>21</v>
      </c>
      <c r="E796" s="730"/>
      <c r="F796" s="730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6"/>
      <c r="D797" s="726"/>
      <c r="E797" s="726" t="s">
        <v>18</v>
      </c>
      <c r="F797" s="726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6"/>
      <c r="D798" s="726"/>
      <c r="E798" s="726" t="s">
        <v>19</v>
      </c>
      <c r="F798" s="726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 hidden="1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777"/>
      <c r="I799" s="184"/>
      <c r="J799" s="184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 hidden="1">
      <c r="A800" s="573"/>
      <c r="B800" s="585"/>
      <c r="C800" s="585"/>
      <c r="D800" s="585"/>
      <c r="E800" s="593"/>
      <c r="F800" s="593" t="s">
        <v>320</v>
      </c>
      <c r="G800" s="729"/>
      <c r="H800" s="778" t="s">
        <v>46</v>
      </c>
      <c r="I800" s="184">
        <f ca="1">IFERROR(__xludf.DUMMYFUNCTION("IMPORTRANGE(""https://docs.google.com/spreadsheets/d/1QqKyyYR6Q21VydFLVH3TRQUabQu_ym0Zz7PgGX0-kHA/edit?usp=sharing"",""แผน!JN20"")"),0)</f>
        <v>0</v>
      </c>
      <c r="J800" s="184">
        <f ca="1">IFERROR(__xludf.DUMMYFUNCTION("IMPORTRANGE(""https://docs.google.com/spreadsheets/d/1MaWodYyGHDf7siQLGxnXhG4mBNTNIuy296niS2xXulU/edit?usp=sharing"",""RTK!H20"")"),0)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 hidden="1">
      <c r="A801" s="573"/>
      <c r="B801" s="585"/>
      <c r="C801" s="585"/>
      <c r="D801" s="585"/>
      <c r="E801" s="593"/>
      <c r="F801" s="593"/>
      <c r="G801" s="729"/>
      <c r="H801" s="779" t="s">
        <v>34</v>
      </c>
      <c r="I801" s="184"/>
      <c r="J801" s="270">
        <f ca="1">IFERROR(__xludf.DUMMYFUNCTION("IMPORTRANGE(""https://docs.google.com/spreadsheets/d/1MaWodYyGHDf7siQLGxnXhG4mBNTNIuy296niS2xXulU/edit?usp=sharing"",""RTK!I20"")"),0)</f>
        <v>0</v>
      </c>
      <c r="K801" s="466"/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 hidden="1">
      <c r="A802" s="579"/>
      <c r="B802" s="581"/>
      <c r="C802" s="581"/>
      <c r="D802" s="581"/>
      <c r="E802" s="687"/>
      <c r="F802" s="687" t="s">
        <v>321</v>
      </c>
      <c r="G802" s="582"/>
      <c r="H802" s="620" t="s">
        <v>46</v>
      </c>
      <c r="I802" s="166"/>
      <c r="J802" s="584"/>
      <c r="K802" s="167">
        <f>IF(I802&gt;0,J802*100/I802,0)</f>
        <v>0</v>
      </c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 hidden="1">
      <c r="A803" s="579"/>
      <c r="B803" s="581"/>
      <c r="C803" s="581"/>
      <c r="D803" s="581"/>
      <c r="E803" s="687"/>
      <c r="F803" s="687"/>
      <c r="G803" s="582"/>
      <c r="H803" s="620" t="s">
        <v>34</v>
      </c>
      <c r="I803" s="166"/>
      <c r="J803" s="584"/>
      <c r="K803" s="167"/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>IF(I804&gt;0,J804*100/I804,0)</f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7">L806+L807</f>
        <v>0</v>
      </c>
      <c r="M805" s="614">
        <f t="shared" si="327"/>
        <v>0</v>
      </c>
      <c r="N805" s="614">
        <f t="shared" si="327"/>
        <v>0</v>
      </c>
      <c r="O805" s="614">
        <f t="shared" ref="O805:O810" si="328">IF(L805&gt;0,N805*100/L805,0)</f>
        <v>0</v>
      </c>
      <c r="P805" s="614">
        <f t="shared" ref="P805:P810" si="329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1">L809+L810</f>
        <v>0</v>
      </c>
      <c r="M808" s="614">
        <f t="shared" si="331"/>
        <v>0</v>
      </c>
      <c r="N808" s="614">
        <f t="shared" si="331"/>
        <v>0</v>
      </c>
      <c r="O808" s="614">
        <f t="shared" si="328"/>
        <v>0</v>
      </c>
      <c r="P808" s="614">
        <f t="shared" si="329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2">L816+L817</f>
        <v>0</v>
      </c>
      <c r="M815" s="614">
        <f t="shared" si="332"/>
        <v>0</v>
      </c>
      <c r="N815" s="614">
        <f t="shared" si="332"/>
        <v>0</v>
      </c>
      <c r="O815" s="614">
        <f t="shared" ref="O815:O817" si="333">IF(L815&gt;0,N815*100/L815,0)</f>
        <v>0</v>
      </c>
      <c r="P815" s="614">
        <f t="shared" ref="P815:P817" si="334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55" t="s">
        <v>332</v>
      </c>
      <c r="B820" s="856"/>
      <c r="C820" s="856"/>
      <c r="D820" s="857"/>
      <c r="E820" s="856"/>
      <c r="F820" s="856"/>
      <c r="G820" s="858"/>
      <c r="H820" s="8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60"/>
      <c r="J820" s="860"/>
      <c r="K820" s="861"/>
      <c r="L820" s="861"/>
      <c r="M820" s="861"/>
      <c r="N820" s="861"/>
      <c r="O820" s="861"/>
      <c r="P820" s="86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IFERROR(__xludf.DUMMYFUNCTION("IMPORTRANGE(""https://docs.google.com/spreadsheets/d/19vJNZY_5yjcGF2XGBMNZRCAIB0Kwfpjp8YEOfu-bneM/edit?usp=sharing"",""งานกองทุน!D20"")"),4251141.49)</f>
        <v>4251141.49</v>
      </c>
      <c r="J821" s="270">
        <f ca="1">IFERROR(__xludf.DUMMYFUNCTION("IMPORTRANGE(""https://docs.google.com/spreadsheets/d/19vJNZY_5yjcGF2XGBMNZRCAIB0Kwfpjp8YEOfu-bneM/edit?usp=sharing"",""งานกองทุน!F20"")"),1474096.83)</f>
        <v>1474096.83</v>
      </c>
      <c r="K821" s="466">
        <f t="shared" ref="K821:K828" ca="1" si="335">IF(I821&gt;0,J821*100/I821,0)</f>
        <v>34.675317993238565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IFERROR(__xludf.DUMMYFUNCTION("IMPORTRANGE(""https://docs.google.com/spreadsheets/d/19vJNZY_5yjcGF2XGBMNZRCAIB0Kwfpjp8YEOfu-bneM/edit?usp=sharing"",""งานกองทุน!C20"")"),408)</f>
        <v>408</v>
      </c>
      <c r="J822" s="270">
        <f ca="1">IFERROR(__xludf.DUMMYFUNCTION("IMPORTRANGE(""https://docs.google.com/spreadsheets/d/19vJNZY_5yjcGF2XGBMNZRCAIB0Kwfpjp8YEOfu-bneM/edit?usp=sharing"",""งานกองทุน!E20"")"),122)</f>
        <v>122</v>
      </c>
      <c r="K822" s="466">
        <f t="shared" ca="1" si="335"/>
        <v>29.901960784313726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IFERROR(__xludf.DUMMYFUNCTION("IMPORTRANGE(""https://docs.google.com/spreadsheets/d/19vJNZY_5yjcGF2XGBMNZRCAIB0Kwfpjp8YEOfu-bneM/edit?usp=sharing"",""งานกองทุน!I20"")"),24687178.04)</f>
        <v>24687178.039999999</v>
      </c>
      <c r="J823" s="270">
        <f ca="1">IFERROR(__xludf.DUMMYFUNCTION("IMPORTRANGE(""https://docs.google.com/spreadsheets/d/19vJNZY_5yjcGF2XGBMNZRCAIB0Kwfpjp8YEOfu-bneM/edit?usp=sharing"",""งานกองทุน!K20"")"),292750.34)</f>
        <v>292750.34000000003</v>
      </c>
      <c r="K823" s="466">
        <f t="shared" ca="1" si="335"/>
        <v>1.1858396270552438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IFERROR(__xludf.DUMMYFUNCTION("IMPORTRANGE(""https://docs.google.com/spreadsheets/d/19vJNZY_5yjcGF2XGBMNZRCAIB0Kwfpjp8YEOfu-bneM/edit?usp=sharing"",""งานกองทุน!H20"")"),411)</f>
        <v>411</v>
      </c>
      <c r="J824" s="270">
        <f ca="1">IFERROR(__xludf.DUMMYFUNCTION("IMPORTRANGE(""https://docs.google.com/spreadsheets/d/19vJNZY_5yjcGF2XGBMNZRCAIB0Kwfpjp8YEOfu-bneM/edit?usp=sharing"",""งานกองทุน!J20"")"),63)</f>
        <v>63</v>
      </c>
      <c r="K824" s="466">
        <f t="shared" ca="1" si="335"/>
        <v>15.328467153284672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IFERROR(__xludf.DUMMYFUNCTION("IMPORTRANGE(""https://docs.google.com/spreadsheets/d/19vJNZY_5yjcGF2XGBMNZRCAIB0Kwfpjp8YEOfu-bneM/edit?usp=sharing"",""งานกองทุน!N20"")"),64494.86)</f>
        <v>64494.86</v>
      </c>
      <c r="J825" s="270">
        <f ca="1">IFERROR(__xludf.DUMMYFUNCTION("IMPORTRANGE(""https://docs.google.com/spreadsheets/d/19vJNZY_5yjcGF2XGBMNZRCAIB0Kwfpjp8YEOfu-bneM/edit?usp=sharing"",""งานกองทุน!P20"")"),1498.88)</f>
        <v>1498.88</v>
      </c>
      <c r="K825" s="466">
        <f t="shared" ca="1" si="335"/>
        <v>2.3240301630238442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IFERROR(__xludf.DUMMYFUNCTION("IMPORTRANGE(""https://docs.google.com/spreadsheets/d/19vJNZY_5yjcGF2XGBMNZRCAIB0Kwfpjp8YEOfu-bneM/edit?usp=sharing"",""งานกองทุน!M20"")"),107)</f>
        <v>107</v>
      </c>
      <c r="J826" s="270">
        <f ca="1">IFERROR(__xludf.DUMMYFUNCTION("IMPORTRANGE(""https://docs.google.com/spreadsheets/d/19vJNZY_5yjcGF2XGBMNZRCAIB0Kwfpjp8YEOfu-bneM/edit?usp=sharing"",""งานกองทุน!O20"")"),2)</f>
        <v>2</v>
      </c>
      <c r="K826" s="466">
        <f t="shared" ca="1" si="335"/>
        <v>1.8691588785046729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IFERROR(__xludf.DUMMYFUNCTION("IMPORTRANGE(""https://docs.google.com/spreadsheets/d/19vJNZY_5yjcGF2XGBMNZRCAIB0Kwfpjp8YEOfu-bneM/edit?usp=sharing"",""งานกองทุน!S20"")"),5530000)</f>
        <v>5530000</v>
      </c>
      <c r="J827" s="270">
        <f ca="1">IFERROR(__xludf.DUMMYFUNCTION("IMPORTRANGE(""https://docs.google.com/spreadsheets/d/19vJNZY_5yjcGF2XGBMNZRCAIB0Kwfpjp8YEOfu-bneM/edit?usp=sharing"",""งานกองทุน!U20"")"),1200000)</f>
        <v>1200000</v>
      </c>
      <c r="K827" s="466">
        <f t="shared" ca="1" si="335"/>
        <v>21.699819168173597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IFERROR(__xludf.DUMMYFUNCTION("IMPORTRANGE(""https://docs.google.com/spreadsheets/d/19vJNZY_5yjcGF2XGBMNZRCAIB0Kwfpjp8YEOfu-bneM/edit?usp=sharing"",""งานกองทุน!R20"")"),221)</f>
        <v>221</v>
      </c>
      <c r="J828" s="469">
        <f ca="1">IFERROR(__xludf.DUMMYFUNCTION("IMPORTRANGE(""https://docs.google.com/spreadsheets/d/19vJNZY_5yjcGF2XGBMNZRCAIB0Kwfpjp8YEOfu-bneM/edit?usp=sharing"",""งานกองทุน!T20"")"),26)</f>
        <v>26</v>
      </c>
      <c r="K828" s="470">
        <f t="shared" ca="1" si="335"/>
        <v>11.764705882352942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F0F36-4094-40A3-A3E2-5DC8A97DA72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04" customWidth="1"/>
    <col min="4" max="6" width="5.85546875" style="804" customWidth="1"/>
    <col min="7" max="7" width="56.42578125" style="804" customWidth="1"/>
    <col min="8" max="8" width="9.42578125" style="804" customWidth="1"/>
    <col min="9" max="10" width="16.85546875" style="804" bestFit="1" customWidth="1"/>
    <col min="11" max="11" width="12.5703125" style="804" customWidth="1"/>
    <col min="12" max="13" width="20.28515625" style="804" bestFit="1" customWidth="1"/>
    <col min="14" max="14" width="21.28515625" style="804" bestFit="1" customWidth="1"/>
    <col min="15" max="16" width="17.5703125" style="804" customWidth="1"/>
    <col min="17" max="16384" width="12.5703125" style="804"/>
  </cols>
  <sheetData>
    <row r="1" spans="1:26" ht="19.5">
      <c r="A1" s="910" t="s">
        <v>0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</row>
    <row r="2" spans="1:26" ht="19.5">
      <c r="A2" s="910" t="s">
        <v>343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1:26" ht="19.5">
      <c r="A3" s="910" t="s">
        <v>355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18" t="s">
        <v>2</v>
      </c>
      <c r="B5" s="911"/>
      <c r="C5" s="911"/>
      <c r="D5" s="911"/>
      <c r="E5" s="911"/>
      <c r="F5" s="911"/>
      <c r="G5" s="919"/>
      <c r="H5" s="912" t="s">
        <v>3</v>
      </c>
      <c r="I5" s="914" t="s">
        <v>4</v>
      </c>
      <c r="J5" s="915"/>
      <c r="K5" s="913"/>
      <c r="L5" s="916" t="s">
        <v>5</v>
      </c>
      <c r="M5" s="913"/>
      <c r="N5" s="917" t="s">
        <v>6</v>
      </c>
      <c r="O5" s="915"/>
      <c r="P5" s="913"/>
    </row>
    <row r="6" spans="1:26" ht="19.5">
      <c r="A6" s="920"/>
      <c r="B6" s="915"/>
      <c r="C6" s="915"/>
      <c r="D6" s="915"/>
      <c r="E6" s="915"/>
      <c r="F6" s="915"/>
      <c r="G6" s="913"/>
      <c r="H6" s="91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1" t="s">
        <v>15</v>
      </c>
      <c r="B7" s="915"/>
      <c r="C7" s="915"/>
      <c r="D7" s="915"/>
      <c r="E7" s="915"/>
      <c r="F7" s="915"/>
      <c r="G7" s="91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4534689</v>
      </c>
      <c r="M8" s="22">
        <f t="shared" ca="1" si="0"/>
        <v>2392497</v>
      </c>
      <c r="N8" s="22">
        <f t="shared" ca="1" si="0"/>
        <v>1556868.4100000001</v>
      </c>
      <c r="O8" s="22">
        <f t="shared" ref="O8:O16" ca="1" si="1">IF(L8&gt;0,N8*100/L8,0)</f>
        <v>34.3324186068769</v>
      </c>
      <c r="P8" s="22">
        <f t="shared" ref="P8:P16" ca="1" si="2">IF(M8&gt;0,N8*100/M8,0)</f>
        <v>65.07295139764021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4534689</v>
      </c>
      <c r="M10" s="30">
        <f t="shared" ca="1" si="3"/>
        <v>2392497</v>
      </c>
      <c r="N10" s="30">
        <f t="shared" ca="1" si="3"/>
        <v>1556868.4100000001</v>
      </c>
      <c r="O10" s="30">
        <f t="shared" ca="1" si="1"/>
        <v>34.3324186068769</v>
      </c>
      <c r="P10" s="30">
        <f t="shared" ca="1" si="2"/>
        <v>65.07295139764021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0" t="s">
        <v>12</v>
      </c>
      <c r="I11" s="270"/>
      <c r="J11" s="270"/>
      <c r="K11" s="466"/>
      <c r="L11" s="466">
        <f t="shared" ref="L11:N11" ca="1" si="4">L12+L13</f>
        <v>4429089</v>
      </c>
      <c r="M11" s="466">
        <f t="shared" ca="1" si="4"/>
        <v>2286897</v>
      </c>
      <c r="N11" s="466">
        <f t="shared" ca="1" si="4"/>
        <v>1451268.4100000001</v>
      </c>
      <c r="O11" s="466">
        <f t="shared" ca="1" si="1"/>
        <v>32.766747518507756</v>
      </c>
      <c r="P11" s="466">
        <f t="shared" ca="1" si="2"/>
        <v>63.460156272888547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4"/>
      <c r="J12" s="584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4"/>
      <c r="J13" s="584"/>
      <c r="K13" s="93"/>
      <c r="L13" s="93">
        <f t="shared" ca="1" si="5"/>
        <v>4429089</v>
      </c>
      <c r="M13" s="93">
        <f t="shared" ca="1" si="5"/>
        <v>2286897</v>
      </c>
      <c r="N13" s="93">
        <f t="shared" ca="1" si="5"/>
        <v>1451268.4100000001</v>
      </c>
      <c r="O13" s="93">
        <f t="shared" ca="1" si="1"/>
        <v>32.766747518507756</v>
      </c>
      <c r="P13" s="93">
        <f t="shared" ca="1" si="2"/>
        <v>63.460156272888547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0" t="s">
        <v>12</v>
      </c>
      <c r="I14" s="270"/>
      <c r="J14" s="270"/>
      <c r="K14" s="466"/>
      <c r="L14" s="466">
        <f t="shared" ref="L14:N14" ca="1" si="6">L15+L16</f>
        <v>105600</v>
      </c>
      <c r="M14" s="466">
        <f t="shared" ca="1" si="6"/>
        <v>105600</v>
      </c>
      <c r="N14" s="466">
        <f t="shared" ca="1" si="6"/>
        <v>105600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4"/>
      <c r="J15" s="584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105600</v>
      </c>
      <c r="M16" s="52">
        <f t="shared" ca="1" si="7"/>
        <v>105600</v>
      </c>
      <c r="N16" s="52">
        <f t="shared" ca="1" si="7"/>
        <v>105600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1" t="s">
        <v>22</v>
      </c>
      <c r="B17" s="915"/>
      <c r="C17" s="915"/>
      <c r="D17" s="915"/>
      <c r="E17" s="915"/>
      <c r="F17" s="915"/>
      <c r="G17" s="91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2944145</v>
      </c>
      <c r="M18" s="22">
        <f t="shared" ca="1" si="8"/>
        <v>2392497</v>
      </c>
      <c r="N18" s="22">
        <f t="shared" ca="1" si="8"/>
        <v>1283142.3900000001</v>
      </c>
      <c r="O18" s="22">
        <f t="shared" ref="O18:O26" ca="1" si="9">IF(L18&gt;0,N18*100/L18,0)</f>
        <v>43.58285308637992</v>
      </c>
      <c r="P18" s="22">
        <f t="shared" ref="P18:P26" ca="1" si="10">IF(M18&gt;0,N18*100/M18,0)</f>
        <v>53.631933080793836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2944145</v>
      </c>
      <c r="M20" s="30">
        <f t="shared" ca="1" si="11"/>
        <v>2392497</v>
      </c>
      <c r="N20" s="30">
        <f t="shared" ca="1" si="11"/>
        <v>1283142.3900000001</v>
      </c>
      <c r="O20" s="30">
        <f t="shared" ca="1" si="9"/>
        <v>43.58285308637992</v>
      </c>
      <c r="P20" s="30">
        <f t="shared" ca="1" si="10"/>
        <v>53.631933080793836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0" t="s">
        <v>12</v>
      </c>
      <c r="I21" s="270"/>
      <c r="J21" s="270"/>
      <c r="K21" s="466"/>
      <c r="L21" s="466">
        <f t="shared" ref="L21:N21" ca="1" si="12">L22+L23</f>
        <v>2838545</v>
      </c>
      <c r="M21" s="466">
        <f t="shared" ca="1" si="12"/>
        <v>2286897</v>
      </c>
      <c r="N21" s="466">
        <f t="shared" ca="1" si="12"/>
        <v>1177542.3900000001</v>
      </c>
      <c r="O21" s="466">
        <f t="shared" ca="1" si="9"/>
        <v>41.484013464644747</v>
      </c>
      <c r="P21" s="466">
        <f t="shared" ca="1" si="10"/>
        <v>51.490836272906044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4"/>
      <c r="J22" s="584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4"/>
      <c r="J23" s="584"/>
      <c r="K23" s="93"/>
      <c r="L23" s="93">
        <f t="shared" ca="1" si="13"/>
        <v>2838545</v>
      </c>
      <c r="M23" s="93">
        <f t="shared" ca="1" si="13"/>
        <v>2286897</v>
      </c>
      <c r="N23" s="93">
        <f t="shared" ca="1" si="13"/>
        <v>1177542.3900000001</v>
      </c>
      <c r="O23" s="93">
        <f t="shared" ca="1" si="9"/>
        <v>41.484013464644747</v>
      </c>
      <c r="P23" s="93">
        <f t="shared" ca="1" si="10"/>
        <v>51.490836272906044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0" t="s">
        <v>12</v>
      </c>
      <c r="I24" s="270"/>
      <c r="J24" s="270"/>
      <c r="K24" s="466"/>
      <c r="L24" s="466">
        <f t="shared" ref="L24:N24" ca="1" si="14">L25+L26</f>
        <v>105600</v>
      </c>
      <c r="M24" s="466">
        <f t="shared" ca="1" si="14"/>
        <v>105600</v>
      </c>
      <c r="N24" s="466">
        <f t="shared" ca="1" si="14"/>
        <v>105600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4"/>
      <c r="J25" s="584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105600</v>
      </c>
      <c r="M26" s="52">
        <f t="shared" ca="1" si="15"/>
        <v>105600</v>
      </c>
      <c r="N26" s="52">
        <f t="shared" ca="1" si="15"/>
        <v>105600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1" t="s">
        <v>23</v>
      </c>
      <c r="B27" s="915"/>
      <c r="C27" s="915"/>
      <c r="D27" s="915"/>
      <c r="E27" s="915"/>
      <c r="F27" s="915"/>
      <c r="G27" s="91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1590544</v>
      </c>
      <c r="M28" s="22">
        <f t="shared" si="16"/>
        <v>0</v>
      </c>
      <c r="N28" s="22">
        <f t="shared" si="16"/>
        <v>273726.02</v>
      </c>
      <c r="O28" s="22">
        <f t="shared" ref="O28:O37" ca="1" si="17">IF(L28&gt;0,N28*100/L28,0)</f>
        <v>17.209584896739731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1590544</v>
      </c>
      <c r="M30" s="30">
        <f t="shared" si="19"/>
        <v>0</v>
      </c>
      <c r="N30" s="30">
        <f t="shared" si="19"/>
        <v>273726.02</v>
      </c>
      <c r="O30" s="30">
        <f t="shared" ca="1" si="17"/>
        <v>17.209584896739731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0" t="s">
        <v>12</v>
      </c>
      <c r="I31" s="270"/>
      <c r="J31" s="270"/>
      <c r="K31" s="466"/>
      <c r="L31" s="466">
        <f t="shared" ref="L31:N31" ca="1" si="20">L32+L33</f>
        <v>1590544</v>
      </c>
      <c r="M31" s="466">
        <f t="shared" si="20"/>
        <v>0</v>
      </c>
      <c r="N31" s="466">
        <f t="shared" si="20"/>
        <v>273726.02</v>
      </c>
      <c r="O31" s="466">
        <f t="shared" ca="1" si="17"/>
        <v>17.209584896739731</v>
      </c>
      <c r="P31" s="46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4"/>
      <c r="J32" s="584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4"/>
      <c r="J33" s="584"/>
      <c r="K33" s="93"/>
      <c r="L33" s="93">
        <f t="shared" ca="1" si="21"/>
        <v>1590544</v>
      </c>
      <c r="M33" s="93">
        <f t="shared" si="21"/>
        <v>0</v>
      </c>
      <c r="N33" s="93">
        <f t="shared" si="21"/>
        <v>273726.02</v>
      </c>
      <c r="O33" s="93">
        <f t="shared" ca="1" si="17"/>
        <v>17.209584896739731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0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4"/>
      <c r="J35" s="584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6" t="s">
        <v>24</v>
      </c>
      <c r="B37" s="807"/>
      <c r="C37" s="807"/>
      <c r="D37" s="807"/>
      <c r="E37" s="807"/>
      <c r="F37" s="807"/>
      <c r="G37" s="808"/>
      <c r="H37" s="809"/>
      <c r="I37" s="810"/>
      <c r="J37" s="810"/>
      <c r="K37" s="811"/>
      <c r="L37" s="812">
        <f t="shared" ref="L37:N37" ca="1" si="24">L41+L53+L66+L88+L119+L132+L149+L165+L181+L261+L277+L298+L315+L328+L345+L389+L402</f>
        <v>2944145</v>
      </c>
      <c r="M37" s="812">
        <f t="shared" ca="1" si="24"/>
        <v>2392497</v>
      </c>
      <c r="N37" s="812">
        <f t="shared" ca="1" si="24"/>
        <v>1283142.3900000001</v>
      </c>
      <c r="O37" s="812">
        <f t="shared" ca="1" si="17"/>
        <v>43.58285308637992</v>
      </c>
      <c r="P37" s="812">
        <f t="shared" ca="1" si="18"/>
        <v>53.631933080793836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22" t="s">
        <v>27</v>
      </c>
      <c r="C40" s="923"/>
      <c r="D40" s="923"/>
      <c r="E40" s="923"/>
      <c r="F40" s="923"/>
      <c r="G40" s="92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564750</v>
      </c>
      <c r="M41" s="85">
        <f t="shared" ca="1" si="25"/>
        <v>573887</v>
      </c>
      <c r="N41" s="85">
        <f t="shared" ca="1" si="25"/>
        <v>233456.77</v>
      </c>
      <c r="O41" s="85">
        <f t="shared" ref="O41:O49" ca="1" si="26">IF(L41&gt;0,N41*100/L41,0)</f>
        <v>41.338073483842408</v>
      </c>
      <c r="P41" s="85">
        <f t="shared" ref="P41:P49" ca="1" si="27">IF(M41&gt;0,N41*100/M41,0)</f>
        <v>40.679919566046976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564750</v>
      </c>
      <c r="M43" s="92">
        <f t="shared" ca="1" si="28"/>
        <v>573887</v>
      </c>
      <c r="N43" s="92">
        <f t="shared" ca="1" si="28"/>
        <v>233456.77</v>
      </c>
      <c r="O43" s="92">
        <f t="shared" ca="1" si="26"/>
        <v>41.338073483842408</v>
      </c>
      <c r="P43" s="92">
        <f t="shared" ca="1" si="27"/>
        <v>40.679919566046976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0" t="s">
        <v>12</v>
      </c>
      <c r="I44" s="270"/>
      <c r="J44" s="270"/>
      <c r="K44" s="466"/>
      <c r="L44" s="466">
        <f t="shared" ref="L44:N44" ca="1" si="29">L45+L46</f>
        <v>564750</v>
      </c>
      <c r="M44" s="466">
        <f t="shared" ca="1" si="29"/>
        <v>573887</v>
      </c>
      <c r="N44" s="466">
        <f t="shared" ca="1" si="29"/>
        <v>233456.77</v>
      </c>
      <c r="O44" s="466">
        <f t="shared" ca="1" si="26"/>
        <v>41.338073483842408</v>
      </c>
      <c r="P44" s="466">
        <f t="shared" ca="1" si="27"/>
        <v>40.679919566046976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4"/>
      <c r="J45" s="584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4"/>
      <c r="J46" s="584"/>
      <c r="K46" s="93"/>
      <c r="L46" s="93">
        <f ca="1">IFERROR(__xludf.DUMMYFUNCTION("IMPORTRANGE(""https://docs.google.com/spreadsheets/d/1MeEWN-I1oV_STSDYn1IFDPWt_1FKiwhDph83XaGc0o0/edit?usp=sharing"",""งบพรบ!M21"")"),564750)</f>
        <v>564750</v>
      </c>
      <c r="M46" s="93">
        <f ca="1">IFERROR(__xludf.DUMMYFUNCTION("IMPORTRANGE(""https://docs.google.com/spreadsheets/d/1MeEWN-I1oV_STSDYn1IFDPWt_1FKiwhDph83XaGc0o0/edit?usp=sharing"",""งบพรบ!R21"")"),573887)</f>
        <v>573887</v>
      </c>
      <c r="N46" s="93">
        <f ca="1">IFERROR(__xludf.DUMMYFUNCTION("IMPORTRANGE(""https://docs.google.com/spreadsheets/d/1MeEWN-I1oV_STSDYn1IFDPWt_1FKiwhDph83XaGc0o0/edit?usp=sharing"",""งบพรบ!T21"")"),233456.77)</f>
        <v>233456.77</v>
      </c>
      <c r="O46" s="93">
        <f t="shared" ca="1" si="26"/>
        <v>41.338073483842408</v>
      </c>
      <c r="P46" s="93">
        <f t="shared" ca="1" si="27"/>
        <v>40.679919566046976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0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4"/>
      <c r="J48" s="584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IFERROR(__xludf.DUMMYFUNCTION("IMPORTRANGE(""https://docs.google.com/spreadsheets/d/1MeEWN-I1oV_STSDYn1IFDPWt_1FKiwhDph83XaGc0o0/edit?usp=sharing"",""งบพรบ!P21"")"),0)</f>
        <v>0</v>
      </c>
      <c r="M49" s="52">
        <f ca="1">IFERROR(__xludf.DUMMYFUNCTION("IMPORTRANGE(""https://docs.google.com/spreadsheets/d/1MeEWN-I1oV_STSDYn1IFDPWt_1FKiwhDph83XaGc0o0/edit?usp=sharing"",""งบพรบ!S21"")"),0)</f>
        <v>0</v>
      </c>
      <c r="N49" s="52">
        <f ca="1">IFERROR(__xludf.DUMMYFUNCTION("IMPORTRANGE(""https://docs.google.com/spreadsheets/d/1MeEWN-I1oV_STSDYn1IFDPWt_1FKiwhDph83XaGc0o0/edit?usp=sharing"",""งบพรบ!U21"")"),0)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25" t="s">
        <v>28</v>
      </c>
      <c r="B50" s="915"/>
      <c r="C50" s="915"/>
      <c r="D50" s="915"/>
      <c r="E50" s="915"/>
      <c r="F50" s="915"/>
      <c r="G50" s="91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6" t="s">
        <v>29</v>
      </c>
      <c r="C51" s="923"/>
      <c r="D51" s="923"/>
      <c r="E51" s="923"/>
      <c r="F51" s="923"/>
      <c r="G51" s="92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660900</v>
      </c>
      <c r="M53" s="116">
        <f t="shared" ca="1" si="31"/>
        <v>495675</v>
      </c>
      <c r="N53" s="116">
        <f t="shared" ca="1" si="31"/>
        <v>362636.34</v>
      </c>
      <c r="O53" s="116">
        <f t="shared" ref="O53:O61" ca="1" si="32">IF(L53&gt;0,N53*100/L53,0)</f>
        <v>54.870077167498863</v>
      </c>
      <c r="P53" s="116">
        <f t="shared" ref="P53:P61" ca="1" si="33">IF(M53&gt;0,N53*100/M53,0)</f>
        <v>73.160102889998484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660900</v>
      </c>
      <c r="M55" s="123">
        <f t="shared" ca="1" si="34"/>
        <v>495675</v>
      </c>
      <c r="N55" s="123">
        <f t="shared" ca="1" si="34"/>
        <v>362636.34</v>
      </c>
      <c r="O55" s="123">
        <f t="shared" ca="1" si="32"/>
        <v>54.870077167498863</v>
      </c>
      <c r="P55" s="123">
        <f t="shared" ca="1" si="33"/>
        <v>73.160102889998484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0" t="s">
        <v>12</v>
      </c>
      <c r="I56" s="270"/>
      <c r="J56" s="270"/>
      <c r="K56" s="466"/>
      <c r="L56" s="466">
        <f t="shared" ref="L56:N56" ca="1" si="35">L57+L58</f>
        <v>660900</v>
      </c>
      <c r="M56" s="466">
        <f t="shared" ca="1" si="35"/>
        <v>495675</v>
      </c>
      <c r="N56" s="466">
        <f t="shared" ca="1" si="35"/>
        <v>362636.34</v>
      </c>
      <c r="O56" s="466">
        <f t="shared" ca="1" si="32"/>
        <v>54.870077167498863</v>
      </c>
      <c r="P56" s="466">
        <f t="shared" ca="1" si="33"/>
        <v>73.160102889998484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4"/>
      <c r="J57" s="584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4"/>
      <c r="J58" s="584"/>
      <c r="K58" s="93"/>
      <c r="L58" s="93">
        <f ca="1">IFERROR(__xludf.DUMMYFUNCTION("IMPORTRANGE(""https://docs.google.com/spreadsheets/d/1MeEWN-I1oV_STSDYn1IFDPWt_1FKiwhDph83XaGc0o0/edit?usp=sharing"",""งบพรบ!W21"")"),660900)</f>
        <v>660900</v>
      </c>
      <c r="M58" s="93">
        <f ca="1">IFERROR(__xludf.DUMMYFUNCTION("IMPORTRANGE(""https://docs.google.com/spreadsheets/d/1MeEWN-I1oV_STSDYn1IFDPWt_1FKiwhDph83XaGc0o0/edit?usp=sharing"",""งบพรบ!AB21"")"),495675)</f>
        <v>495675</v>
      </c>
      <c r="N58" s="93">
        <f ca="1">IFERROR(__xludf.DUMMYFUNCTION("IMPORTRANGE(""https://docs.google.com/spreadsheets/d/1MeEWN-I1oV_STSDYn1IFDPWt_1FKiwhDph83XaGc0o0/edit?usp=sharing"",""งบพรบ!AD21"")"),362636.34)</f>
        <v>362636.34</v>
      </c>
      <c r="O58" s="93">
        <f t="shared" ca="1" si="32"/>
        <v>54.870077167498863</v>
      </c>
      <c r="P58" s="93">
        <f t="shared" ca="1" si="33"/>
        <v>73.160102889998484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0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4"/>
      <c r="J60" s="584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IFERROR(__xludf.DUMMYFUNCTION("IMPORTRANGE(""https://docs.google.com/spreadsheets/d/1MeEWN-I1oV_STSDYn1IFDPWt_1FKiwhDph83XaGc0o0/edit?usp=sharing"",""งบพรบ!Z21"")"),0)</f>
        <v>0</v>
      </c>
      <c r="M61" s="52">
        <f ca="1">IFERROR(__xludf.DUMMYFUNCTION("IMPORTRANGE(""https://docs.google.com/spreadsheets/d/1MeEWN-I1oV_STSDYn1IFDPWt_1FKiwhDph83XaGc0o0/edit?usp=sharing"",""งบพรบ!AC21"")"),0)</f>
        <v>0</v>
      </c>
      <c r="N61" s="52">
        <f ca="1">IFERROR(__xludf.DUMMYFUNCTION("IMPORTRANGE(""https://docs.google.com/spreadsheets/d/1MeEWN-I1oV_STSDYn1IFDPWt_1FKiwhDph83XaGc0o0/edit?usp=sharing"",""งบพรบ!AE21"")"),0)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5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4"/>
      <c r="J67" s="584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4"/>
      <c r="J68" s="584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79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IFERROR(__xludf.DUMMYFUNCTION("IMPORTRANGE(""https://docs.google.com/spreadsheets/d/1MeEWN-I1oV_STSDYn1IFDPWt_1FKiwhDph83XaGc0o0/edit?usp=sharing"",""งบพรบ!AG21"")"),0)</f>
        <v>0</v>
      </c>
      <c r="M71" s="93">
        <f ca="1">IFERROR(__xludf.DUMMYFUNCTION("IMPORTRANGE(""https://docs.google.com/spreadsheets/d/1MeEWN-I1oV_STSDYn1IFDPWt_1FKiwhDph83XaGc0o0/edit?usp=sharing"",""งบพรบ!AL21"")"),0)</f>
        <v>0</v>
      </c>
      <c r="N71" s="93">
        <f ca="1">IFERROR(__xludf.DUMMYFUNCTION("IMPORTRANGE(""https://docs.google.com/spreadsheets/d/1MeEWN-I1oV_STSDYn1IFDPWt_1FKiwhDph83XaGc0o0/edit?usp=sharing"",""งบพรบ!AN21"")"),0)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IFERROR(__xludf.DUMMYFUNCTION("IMPORTRANGE(""https://docs.google.com/spreadsheets/d/1MeEWN-I1oV_STSDYn1IFDPWt_1FKiwhDph83XaGc0o0/edit?usp=sharing"",""งบพรบ!AJ21"")"),0)</f>
        <v>0</v>
      </c>
      <c r="M74" s="93">
        <f ca="1">IFERROR(__xludf.DUMMYFUNCTION("IMPORTRANGE(""https://docs.google.com/spreadsheets/d/1MeEWN-I1oV_STSDYn1IFDPWt_1FKiwhDph83XaGc0o0/edit?usp=sharing"",""งบพรบ!AM21"")"),0)</f>
        <v>0</v>
      </c>
      <c r="N74" s="93">
        <f ca="1">IFERROR(__xludf.DUMMYFUNCTION("IMPORTRANGE(""https://docs.google.com/spreadsheets/d/1MeEWN-I1oV_STSDYn1IFDPWt_1FKiwhDph83XaGc0o0/edit?usp=sharing"",""งบพรบ!AO21"")"),0)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6" t="s">
        <v>38</v>
      </c>
      <c r="E75" s="173"/>
      <c r="F75" s="173"/>
      <c r="G75" s="174"/>
      <c r="H75" s="729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1" t="s">
        <v>34</v>
      </c>
      <c r="I78" s="184">
        <f ca="1">IFERROR(__xludf.DUMMYFUNCTION("IMPORTRANGE(""https://docs.google.com/spreadsheets/d/1QqKyyYR6Q21VydFLVH3TRQUabQu_ym0Zz7PgGX0-kHA/edit?usp=sharing"",""แผน!H21"")"),0)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1" t="s">
        <v>35</v>
      </c>
      <c r="I79" s="184">
        <f ca="1">IFERROR(__xludf.DUMMYFUNCTION("IMPORTRANGE(""https://docs.google.com/spreadsheets/d/1QqKyyYR6Q21VydFLVH3TRQUabQu_ym0Zz7PgGX0-kHA/edit?usp=sharing"",""แผน!I21"")"),0)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1" t="s">
        <v>34</v>
      </c>
      <c r="I80" s="184">
        <f ca="1">IFERROR(__xludf.DUMMYFUNCTION("IMPORTRANGE(""https://docs.google.com/spreadsheets/d/1QqKyyYR6Q21VydFLVH3TRQUabQu_ym0Zz7PgGX0-kHA/edit?usp=sharing"",""แผน!F21"")"),0)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1" t="s">
        <v>35</v>
      </c>
      <c r="I81" s="184">
        <f ca="1">IFERROR(__xludf.DUMMYFUNCTION("IMPORTRANGE(""https://docs.google.com/spreadsheets/d/1QqKyyYR6Q21VydFLVH3TRQUabQu_ym0Zz7PgGX0-kHA/edit?usp=sharing"",""แผน!G21"")"),0)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1" t="s">
        <v>34</v>
      </c>
      <c r="I82" s="184">
        <f ca="1">IFERROR(__xludf.DUMMYFUNCTION("IMPORTRANGE(""https://docs.google.com/spreadsheets/d/1QqKyyYR6Q21VydFLVH3TRQUabQu_ym0Zz7PgGX0-kHA/edit?usp=sharing"",""แผน!D21"")"),0)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1" t="s">
        <v>35</v>
      </c>
      <c r="I83" s="184">
        <f ca="1">IFERROR(__xludf.DUMMYFUNCTION("IMPORTRANGE(""https://docs.google.com/spreadsheets/d/1QqKyyYR6Q21VydFLVH3TRQUabQu_ym0Zz7PgGX0-kHA/edit?usp=sharing"",""แผน!E21"")"),0)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8" t="s">
        <v>34</v>
      </c>
      <c r="I84" s="184">
        <f ca="1">IFERROR(__xludf.DUMMYFUNCTION("IMPORTRANGE(""https://docs.google.com/spreadsheets/d/1QqKyyYR6Q21VydFLVH3TRQUabQu_ym0Zz7PgGX0-kHA/edit?usp=sharing"",""แผน!J21"")"),0)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5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85840</v>
      </c>
      <c r="M88" s="155">
        <f t="shared" ca="1" si="49"/>
        <v>79140</v>
      </c>
      <c r="N88" s="155">
        <f t="shared" ca="1" si="49"/>
        <v>38164</v>
      </c>
      <c r="O88" s="155">
        <f t="shared" ref="O88:O96" ca="1" si="50">IF(L88&gt;0,N88*100/L88,0)</f>
        <v>44.45945945945946</v>
      </c>
      <c r="P88" s="155">
        <f t="shared" ref="P88:P96" ca="1" si="51">IF(M88&gt;0,N88*100/M88,0)</f>
        <v>48.22340156684357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4"/>
      <c r="J89" s="584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4"/>
      <c r="J90" s="584"/>
      <c r="K90" s="93"/>
      <c r="L90" s="93">
        <f t="shared" ca="1" si="52"/>
        <v>85840</v>
      </c>
      <c r="M90" s="93">
        <f t="shared" ca="1" si="52"/>
        <v>79140</v>
      </c>
      <c r="N90" s="93">
        <f t="shared" ca="1" si="52"/>
        <v>38164</v>
      </c>
      <c r="O90" s="93">
        <f t="shared" ca="1" si="50"/>
        <v>44.45945945945946</v>
      </c>
      <c r="P90" s="93">
        <f t="shared" ca="1" si="51"/>
        <v>48.22340156684357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79" t="s">
        <v>12</v>
      </c>
      <c r="I91" s="184"/>
      <c r="J91" s="184"/>
      <c r="K91" s="163"/>
      <c r="L91" s="466">
        <f t="shared" ref="L91:N91" ca="1" si="53">L92+L93</f>
        <v>85840</v>
      </c>
      <c r="M91" s="466">
        <f t="shared" ca="1" si="53"/>
        <v>79140</v>
      </c>
      <c r="N91" s="466">
        <f t="shared" ca="1" si="53"/>
        <v>38164</v>
      </c>
      <c r="O91" s="466">
        <f t="shared" ca="1" si="50"/>
        <v>44.45945945945946</v>
      </c>
      <c r="P91" s="466">
        <f t="shared" ca="1" si="51"/>
        <v>48.22340156684357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IFERROR(__xludf.DUMMYFUNCTION("IMPORTRANGE(""https://docs.google.com/spreadsheets/d/1MeEWN-I1oV_STSDYn1IFDPWt_1FKiwhDph83XaGc0o0/edit?usp=sharing"",""งบพรบ!AQ21"")"),85840)</f>
        <v>85840</v>
      </c>
      <c r="M93" s="93">
        <f ca="1">IFERROR(__xludf.DUMMYFUNCTION("IMPORTRANGE(""https://docs.google.com/spreadsheets/d/1MeEWN-I1oV_STSDYn1IFDPWt_1FKiwhDph83XaGc0o0/edit?usp=sharing"",""งบพรบ!AV21"")"),79140)</f>
        <v>79140</v>
      </c>
      <c r="N93" s="93">
        <f ca="1">IFERROR(__xludf.DUMMYFUNCTION("IMPORTRANGE(""https://docs.google.com/spreadsheets/d/1MeEWN-I1oV_STSDYn1IFDPWt_1FKiwhDph83XaGc0o0/edit?usp=sharing"",""งบพรบ!AX21"")"),38164)</f>
        <v>38164</v>
      </c>
      <c r="O93" s="93">
        <f t="shared" ca="1" si="50"/>
        <v>44.45945945945946</v>
      </c>
      <c r="P93" s="93">
        <f t="shared" ca="1" si="51"/>
        <v>48.22340156684357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IFERROR(__xludf.DUMMYFUNCTION("IMPORTRANGE(""https://docs.google.com/spreadsheets/d/1MeEWN-I1oV_STSDYn1IFDPWt_1FKiwhDph83XaGc0o0/edit?usp=sharing"",""งบพรบ!AT21"")"),0)</f>
        <v>0</v>
      </c>
      <c r="M96" s="93">
        <f ca="1">IFERROR(__xludf.DUMMYFUNCTION("IMPORTRANGE(""https://docs.google.com/spreadsheets/d/1MeEWN-I1oV_STSDYn1IFDPWt_1FKiwhDph83XaGc0o0/edit?usp=sharing"",""งบพรบ!AW21"")"),0)</f>
        <v>0</v>
      </c>
      <c r="N96" s="93">
        <f ca="1">IFERROR(__xludf.DUMMYFUNCTION("IMPORTRANGE(""https://docs.google.com/spreadsheets/d/1MeEWN-I1oV_STSDYn1IFDPWt_1FKiwhDph83XaGc0o0/edit?usp=sharing"",""งบพรบ!AY21"")"),0)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6" t="s">
        <v>38</v>
      </c>
      <c r="E97" s="173"/>
      <c r="F97" s="173"/>
      <c r="G97" s="174"/>
      <c r="H97" s="729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0" t="s">
        <v>46</v>
      </c>
      <c r="I98" s="270">
        <f ca="1">IFERROR(__xludf.DUMMYFUNCTION("IMPORTRANGE(""https://docs.google.com/spreadsheets/d/1QqKyyYR6Q21VydFLVH3TRQUabQu_ym0Zz7PgGX0-kHA/edit?usp=sharing"",""แผน!K21"")"),30)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0" t="s">
        <v>35</v>
      </c>
      <c r="I99" s="270">
        <f ca="1">IFERROR(__xludf.DUMMYFUNCTION("IMPORTRANGE(""https://docs.google.com/spreadsheets/d/1QqKyyYR6Q21VydFLVH3TRQUabQu_ym0Zz7PgGX0-kHA/edit?usp=sharing"",""แผน!L21"")"),10)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0" t="s">
        <v>49</v>
      </c>
      <c r="I100" s="270">
        <f ca="1">IFERROR(__xludf.DUMMYFUNCTION("IMPORTRANGE(""https://docs.google.com/spreadsheets/d/1QqKyyYR6Q21VydFLVH3TRQUabQu_ym0Zz7PgGX0-kHA/edit?usp=sharing"",""แผน!M21"")"),2)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0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3" t="s">
        <v>47</v>
      </c>
      <c r="F102" s="343"/>
      <c r="G102" s="179"/>
      <c r="H102" s="590" t="s">
        <v>46</v>
      </c>
      <c r="I102" s="270">
        <f ca="1">IFERROR(__xludf.DUMMYFUNCTION("IMPORTRANGE(""https://docs.google.com/spreadsheets/d/1QqKyyYR6Q21VydFLVH3TRQUabQu_ym0Zz7PgGX0-kHA/edit?usp=sharing"",""แผน!N21"")"),30)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0" t="s">
        <v>35</v>
      </c>
      <c r="I103" s="270">
        <f ca="1">IFERROR(__xludf.DUMMYFUNCTION("IMPORTRANGE(""https://docs.google.com/spreadsheets/d/1QqKyyYR6Q21VydFLVH3TRQUabQu_ym0Zz7PgGX0-kHA/edit?usp=sharing"",""แผน!O21"")"),10)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0" t="s">
        <v>35</v>
      </c>
      <c r="I104" s="270">
        <f ca="1">IFERROR(__xludf.DUMMYFUNCTION("IMPORTRANGE(""https://docs.google.com/spreadsheets/d/1QqKyyYR6Q21VydFLVH3TRQUabQu_ym0Zz7PgGX0-kHA/edit?usp=sharing"",""แผน!O21"")"),10)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0" t="s">
        <v>49</v>
      </c>
      <c r="I106" s="270">
        <f ca="1">IFERROR(__xludf.DUMMYFUNCTION("IMPORTRANGE(""https://docs.google.com/spreadsheets/d/1QqKyyYR6Q21VydFLVH3TRQUabQu_ym0Zz7PgGX0-kHA/edit?usp=sharing"",""แผน!P21"")"),1)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0" t="s">
        <v>49</v>
      </c>
      <c r="I107" s="270">
        <f ca="1">IFERROR(__xludf.DUMMYFUNCTION("IMPORTRANGE(""https://docs.google.com/spreadsheets/d/1QqKyyYR6Q21VydFLVH3TRQUabQu_ym0Zz7PgGX0-kHA/edit?usp=sharing"",""แผน!P21"")"),1)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0" t="s">
        <v>49</v>
      </c>
      <c r="I109" s="270">
        <f ca="1">IFERROR(__xludf.DUMMYFUNCTION("IMPORTRANGE(""https://docs.google.com/spreadsheets/d/1QqKyyYR6Q21VydFLVH3TRQUabQu_ym0Zz7PgGX0-kHA/edit?usp=sharing"",""แผน!Q21"")"),1)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0" t="s">
        <v>49</v>
      </c>
      <c r="I110" s="270">
        <f ca="1">IFERROR(__xludf.DUMMYFUNCTION("IMPORTRANGE(""https://docs.google.com/spreadsheets/d/1QqKyyYR6Q21VydFLVH3TRQUabQu_ym0Zz7PgGX0-kHA/edit?usp=sharing"",""แผน!Q21"")"),1)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4" t="s">
        <v>35</v>
      </c>
      <c r="I111" s="193">
        <f ca="1">IFERROR(__xludf.DUMMYFUNCTION("IMPORTRANGE(""https://docs.google.com/spreadsheets/d/1QqKyyYR6Q21VydFLVH3TRQUabQu_ym0Zz7PgGX0-kHA/edit?usp=sharing"",""แผน!R21"")"),10)</f>
        <v>10</v>
      </c>
      <c r="J111" s="648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8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5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IFERROR(__xludf.DUMMYFUNCTION("IMPORTRANGE(""https://docs.google.com/spreadsheets/d/1QqKyyYR6Q21VydFLVH3TRQUabQu_ym0Zz7PgGX0-kHA/edit?usp=sharing"",""แผน!R21"")"),10)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IFERROR(__xludf.DUMMYFUNCTION("IMPORTRANGE(""https://docs.google.com/spreadsheets/d/1QqKyyYR6Q21VydFLVH3TRQUabQu_ym0Zz7PgGX0-kHA/edit?usp=sharing"",""แผน!R21"")"),10)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IFERROR(__xludf.DUMMYFUNCTION("IMPORTRANGE(""https://docs.google.com/spreadsheets/d/1QqKyyYR6Q21VydFLVH3TRQUabQu_ym0Zz7PgGX0-kHA/edit?usp=sharing"",""แผน!S21"")"),1)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IFERROR(__xludf.DUMMYFUNCTION("IMPORTRANGE(""https://docs.google.com/spreadsheets/d/1QqKyyYR6Q21VydFLVH3TRQUabQu_ym0Zz7PgGX0-kHA/edit?usp=sharing"",""แผน!T21"")"),1)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5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4"/>
      <c r="J120" s="584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4"/>
      <c r="J121" s="584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79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IFERROR(__xludf.DUMMYFUNCTION("IMPORTRANGE(""https://docs.google.com/spreadsheets/d/1MeEWN-I1oV_STSDYn1IFDPWt_1FKiwhDph83XaGc0o0/edit?usp=sharing"",""งบพรบ!BA21"")"),0)</f>
        <v>0</v>
      </c>
      <c r="M124" s="93">
        <f ca="1">IFERROR(__xludf.DUMMYFUNCTION("IMPORTRANGE(""https://docs.google.com/spreadsheets/d/1MeEWN-I1oV_STSDYn1IFDPWt_1FKiwhDph83XaGc0o0/edit?usp=sharing"",""งบพรบ!BF21"")"),0)</f>
        <v>0</v>
      </c>
      <c r="N124" s="93">
        <f ca="1">IFERROR(__xludf.DUMMYFUNCTION("IMPORTRANGE(""https://docs.google.com/spreadsheets/d/1MeEWN-I1oV_STSDYn1IFDPWt_1FKiwhDph83XaGc0o0/edit?usp=sharing"",""งบพรบ!BH21"")"),0)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IFERROR(__xludf.DUMMYFUNCTION("IMPORTRANGE(""https://docs.google.com/spreadsheets/d/1MeEWN-I1oV_STSDYn1IFDPWt_1FKiwhDph83XaGc0o0/edit?usp=sharing"",""งบพรบ!BD21"")"),0)</f>
        <v>0</v>
      </c>
      <c r="M127" s="93">
        <f ca="1">IFERROR(__xludf.DUMMYFUNCTION("IMPORTRANGE(""https://docs.google.com/spreadsheets/d/1MeEWN-I1oV_STSDYn1IFDPWt_1FKiwhDph83XaGc0o0/edit?usp=sharing"",""งบพรบ!BG21"")"),0)</f>
        <v>0</v>
      </c>
      <c r="N127" s="93">
        <f ca="1">IFERROR(__xludf.DUMMYFUNCTION("IMPORTRANGE(""https://docs.google.com/spreadsheets/d/1MeEWN-I1oV_STSDYn1IFDPWt_1FKiwhDph83XaGc0o0/edit?usp=sharing"",""งบพรบ!BI21"")"),0)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5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4"/>
      <c r="J133" s="584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4"/>
      <c r="J134" s="584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79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IFERROR(__xludf.DUMMYFUNCTION("IMPORTRANGE(""https://docs.google.com/spreadsheets/d/1MeEWN-I1oV_STSDYn1IFDPWt_1FKiwhDph83XaGc0o0/edit?usp=sharing"",""งบพรบ!BK21"")"),0)</f>
        <v>0</v>
      </c>
      <c r="M137" s="93">
        <f ca="1">IFERROR(__xludf.DUMMYFUNCTION("IMPORTRANGE(""https://docs.google.com/spreadsheets/d/1MeEWN-I1oV_STSDYn1IFDPWt_1FKiwhDph83XaGc0o0/edit?usp=sharing"",""งบพรบ!BP21"")"),0)</f>
        <v>0</v>
      </c>
      <c r="N137" s="93">
        <f ca="1">IFERROR(__xludf.DUMMYFUNCTION("IMPORTRANGE(""https://docs.google.com/spreadsheets/d/1MeEWN-I1oV_STSDYn1IFDPWt_1FKiwhDph83XaGc0o0/edit?usp=sharing"",""งบพรบ!BR21"")"),0)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IFERROR(__xludf.DUMMYFUNCTION("IMPORTRANGE(""https://docs.google.com/spreadsheets/d/1MeEWN-I1oV_STSDYn1IFDPWt_1FKiwhDph83XaGc0o0/edit?usp=sharing"",""งบพรบ!BN21"")"),0)</f>
        <v>0</v>
      </c>
      <c r="M140" s="93">
        <f ca="1">IFERROR(__xludf.DUMMYFUNCTION("IMPORTRANGE(""https://docs.google.com/spreadsheets/d/1MeEWN-I1oV_STSDYn1IFDPWt_1FKiwhDph83XaGc0o0/edit?usp=sharing"",""งบพรบ!BQ21"")"),0)</f>
        <v>0</v>
      </c>
      <c r="N140" s="93">
        <f ca="1">IFERROR(__xludf.DUMMYFUNCTION("IMPORTRANGE(""https://docs.google.com/spreadsheets/d/1MeEWN-I1oV_STSDYn1IFDPWt_1FKiwhDph83XaGc0o0/edit?usp=sharing"",""งบพรบ!BS21"")"),0)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6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IFERROR(__xludf.DUMMYFUNCTION("IMPORTRANGE(""https://docs.google.com/spreadsheets/d/1QqKyyYR6Q21VydFLVH3TRQUabQu_ym0Zz7PgGX0-kHA/edit?usp=sharing"",""แผน!U21"")"),0)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IFERROR(__xludf.DUMMYFUNCTION("IMPORTRANGE(""https://docs.google.com/spreadsheets/d/1QqKyyYR6Q21VydFLVH3TRQUabQu_ym0Zz7PgGX0-kHA/edit?usp=sharing"",""แผน!V21"")"),0)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IFERROR(__xludf.DUMMYFUNCTION("IMPORTRANGE(""https://docs.google.com/spreadsheets/d/1QqKyyYR6Q21VydFLVH3TRQUabQu_ym0Zz7PgGX0-kHA/edit?usp=sharing"",""แผน!W21"")"),0)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1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5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1600</v>
      </c>
      <c r="N149" s="155">
        <f t="shared" ca="1" si="77"/>
        <v>1600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4"/>
      <c r="J150" s="584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4"/>
      <c r="J151" s="584"/>
      <c r="K151" s="93"/>
      <c r="L151" s="93">
        <f t="shared" ca="1" si="80"/>
        <v>0</v>
      </c>
      <c r="M151" s="93">
        <f t="shared" ca="1" si="80"/>
        <v>1600</v>
      </c>
      <c r="N151" s="93">
        <f t="shared" ca="1" si="80"/>
        <v>1600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79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1600</v>
      </c>
      <c r="N152" s="466">
        <f t="shared" ca="1" si="81"/>
        <v>1600</v>
      </c>
      <c r="O152" s="466">
        <f t="shared" ca="1" si="78"/>
        <v>0</v>
      </c>
      <c r="P152" s="466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IFERROR(__xludf.DUMMYFUNCTION("IMPORTRANGE(""https://docs.google.com/spreadsheets/d/1MeEWN-I1oV_STSDYn1IFDPWt_1FKiwhDph83XaGc0o0/edit?usp=sharing"",""งบพรบ!BU21"")"),0)</f>
        <v>0</v>
      </c>
      <c r="M154" s="93">
        <f ca="1">IFERROR(__xludf.DUMMYFUNCTION("IMPORTRANGE(""https://docs.google.com/spreadsheets/d/1MeEWN-I1oV_STSDYn1IFDPWt_1FKiwhDph83XaGc0o0/edit?usp=sharing"",""งบพรบ!BZ21"")"),1600)</f>
        <v>1600</v>
      </c>
      <c r="N154" s="93">
        <f ca="1">IFERROR(__xludf.DUMMYFUNCTION("IMPORTRANGE(""https://docs.google.com/spreadsheets/d/1MeEWN-I1oV_STSDYn1IFDPWt_1FKiwhDph83XaGc0o0/edit?usp=sharing"",""งบพรบ!CB21"")"),1600)</f>
        <v>1600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IFERROR(__xludf.DUMMYFUNCTION("IMPORTRANGE(""https://docs.google.com/spreadsheets/d/1MeEWN-I1oV_STSDYn1IFDPWt_1FKiwhDph83XaGc0o0/edit?usp=sharing"",""งบพรบ!BX21"")"),0)</f>
        <v>0</v>
      </c>
      <c r="M157" s="93">
        <f ca="1">IFERROR(__xludf.DUMMYFUNCTION("IMPORTRANGE(""https://docs.google.com/spreadsheets/d/1MeEWN-I1oV_STSDYn1IFDPWt_1FKiwhDph83XaGc0o0/edit?usp=sharing"",""งบพรบ!CA21"")"),0)</f>
        <v>0</v>
      </c>
      <c r="N157" s="93">
        <f ca="1">IFERROR(__xludf.DUMMYFUNCTION("IMPORTRANGE(""https://docs.google.com/spreadsheets/d/1MeEWN-I1oV_STSDYn1IFDPWt_1FKiwhDph83XaGc0o0/edit?usp=sharing"",""งบพรบ!CC21"")"),0)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6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IFERROR(__xludf.DUMMYFUNCTION("IMPORTRANGE(""https://docs.google.com/spreadsheets/d/1QqKyyYR6Q21VydFLVH3TRQUabQu_ym0Zz7PgGX0-kHA/edit?usp=sharing"",""แผน!X21"")"),0)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4"/>
      <c r="J160" s="584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1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5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33635</v>
      </c>
      <c r="N165" s="155">
        <f t="shared" ca="1" si="84"/>
        <v>21605</v>
      </c>
      <c r="O165" s="155">
        <f t="shared" ref="O165:O173" ca="1" si="85">IF(L165&gt;0,N165*100/L165,0)</f>
        <v>97.959646338698704</v>
      </c>
      <c r="P165" s="155">
        <f t="shared" ref="P165:P173" ca="1" si="86">IF(M165&gt;0,N165*100/M165,0)</f>
        <v>64.233685149397942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4"/>
      <c r="J166" s="584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4"/>
      <c r="J167" s="584"/>
      <c r="K167" s="93"/>
      <c r="L167" s="93">
        <f t="shared" ca="1" si="87"/>
        <v>22055</v>
      </c>
      <c r="M167" s="93">
        <f t="shared" ca="1" si="87"/>
        <v>33635</v>
      </c>
      <c r="N167" s="93">
        <f t="shared" ca="1" si="87"/>
        <v>21605</v>
      </c>
      <c r="O167" s="93">
        <f t="shared" ca="1" si="85"/>
        <v>97.959646338698704</v>
      </c>
      <c r="P167" s="93">
        <f t="shared" ca="1" si="86"/>
        <v>64.233685149397942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79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33635</v>
      </c>
      <c r="N168" s="466">
        <f t="shared" ca="1" si="88"/>
        <v>21605</v>
      </c>
      <c r="O168" s="466">
        <f t="shared" ca="1" si="85"/>
        <v>97.959646338698704</v>
      </c>
      <c r="P168" s="466">
        <f t="shared" ca="1" si="86"/>
        <v>64.233685149397942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IFERROR(__xludf.DUMMYFUNCTION("IMPORTRANGE(""https://docs.google.com/spreadsheets/d/1MeEWN-I1oV_STSDYn1IFDPWt_1FKiwhDph83XaGc0o0/edit?usp=sharing"",""งบพรบ!CE21"")"),22055)</f>
        <v>22055</v>
      </c>
      <c r="M170" s="93">
        <f ca="1">IFERROR(__xludf.DUMMYFUNCTION("IMPORTRANGE(""https://docs.google.com/spreadsheets/d/1MeEWN-I1oV_STSDYn1IFDPWt_1FKiwhDph83XaGc0o0/edit?usp=sharing"",""งบพรบ!CJ21"")"),33635)</f>
        <v>33635</v>
      </c>
      <c r="N170" s="93">
        <f ca="1">IFERROR(__xludf.DUMMYFUNCTION("IMPORTRANGE(""https://docs.google.com/spreadsheets/d/1MeEWN-I1oV_STSDYn1IFDPWt_1FKiwhDph83XaGc0o0/edit?usp=sharing"",""งบพรบ!CL21"")"),21605)</f>
        <v>21605</v>
      </c>
      <c r="O170" s="93">
        <f t="shared" ca="1" si="85"/>
        <v>97.959646338698704</v>
      </c>
      <c r="P170" s="93">
        <f t="shared" ca="1" si="86"/>
        <v>64.233685149397942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IFERROR(__xludf.DUMMYFUNCTION("IMPORTRANGE(""https://docs.google.com/spreadsheets/d/1MeEWN-I1oV_STSDYn1IFDPWt_1FKiwhDph83XaGc0o0/edit?usp=sharing"",""งบพรบ!CH21"")"),0)</f>
        <v>0</v>
      </c>
      <c r="M173" s="93">
        <f ca="1">IFERROR(__xludf.DUMMYFUNCTION("IMPORTRANGE(""https://docs.google.com/spreadsheets/d/1MeEWN-I1oV_STSDYn1IFDPWt_1FKiwhDph83XaGc0o0/edit?usp=sharing"",""งบพรบ!CK21"")"),0)</f>
        <v>0</v>
      </c>
      <c r="N173" s="93">
        <f ca="1">IFERROR(__xludf.DUMMYFUNCTION("IMPORTRANGE(""https://docs.google.com/spreadsheets/d/1MeEWN-I1oV_STSDYn1IFDPWt_1FKiwhDph83XaGc0o0/edit?usp=sharing"",""งบพรบ!CM21"")"),0)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6" t="s">
        <v>38</v>
      </c>
      <c r="E175" s="173"/>
      <c r="F175" s="173"/>
      <c r="G175" s="174"/>
      <c r="H175" s="72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3" t="s">
        <v>85</v>
      </c>
      <c r="E176" s="343"/>
      <c r="F176" s="343"/>
      <c r="G176" s="179"/>
      <c r="H176" s="590" t="s">
        <v>35</v>
      </c>
      <c r="I176" s="270">
        <f ca="1">IFERROR(__xludf.DUMMYFUNCTION("IMPORTRANGE(""https://docs.google.com/spreadsheets/d/1QqKyyYR6Q21VydFLVH3TRQUabQu_ym0Zz7PgGX0-kHA/edit?usp=sharing"",""แผน!Y21"")"),11)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2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5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53000</v>
      </c>
      <c r="M181" s="155">
        <f t="shared" ca="1" si="92"/>
        <v>46500</v>
      </c>
      <c r="N181" s="155">
        <f t="shared" ca="1" si="92"/>
        <v>26440</v>
      </c>
      <c r="O181" s="155">
        <f t="shared" ref="O181:O189" ca="1" si="93">IF(L181&gt;0,N181*100/L181,0)</f>
        <v>49.886792452830186</v>
      </c>
      <c r="P181" s="155">
        <f t="shared" ref="P181:P189" ca="1" si="94">IF(M181&gt;0,N181*100/M181,0)</f>
        <v>56.86021505376344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4"/>
      <c r="J182" s="584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4"/>
      <c r="J183" s="584"/>
      <c r="K183" s="93"/>
      <c r="L183" s="93">
        <f t="shared" ca="1" si="95"/>
        <v>53000</v>
      </c>
      <c r="M183" s="93">
        <f t="shared" ca="1" si="95"/>
        <v>46500</v>
      </c>
      <c r="N183" s="93">
        <f t="shared" ca="1" si="95"/>
        <v>26440</v>
      </c>
      <c r="O183" s="93">
        <f t="shared" ca="1" si="93"/>
        <v>49.886792452830186</v>
      </c>
      <c r="P183" s="93">
        <f t="shared" ca="1" si="94"/>
        <v>56.86021505376344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79" t="s">
        <v>12</v>
      </c>
      <c r="I184" s="184"/>
      <c r="J184" s="184"/>
      <c r="K184" s="163"/>
      <c r="L184" s="466">
        <f t="shared" ref="L184:N184" ca="1" si="96">L185+L186</f>
        <v>53000</v>
      </c>
      <c r="M184" s="466">
        <f t="shared" ca="1" si="96"/>
        <v>46500</v>
      </c>
      <c r="N184" s="466">
        <f t="shared" ca="1" si="96"/>
        <v>26440</v>
      </c>
      <c r="O184" s="466">
        <f t="shared" ca="1" si="93"/>
        <v>49.886792452830186</v>
      </c>
      <c r="P184" s="466">
        <f t="shared" ca="1" si="94"/>
        <v>56.86021505376344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IFERROR(__xludf.DUMMYFUNCTION("IMPORTRANGE(""https://docs.google.com/spreadsheets/d/1MeEWN-I1oV_STSDYn1IFDPWt_1FKiwhDph83XaGc0o0/edit?usp=sharing"",""งบพรบ!CO21"")"),53000)</f>
        <v>53000</v>
      </c>
      <c r="M186" s="93">
        <f ca="1">IFERROR(__xludf.DUMMYFUNCTION("IMPORTRANGE(""https://docs.google.com/spreadsheets/d/1MeEWN-I1oV_STSDYn1IFDPWt_1FKiwhDph83XaGc0o0/edit?usp=sharing"",""งบพรบ!CT21"")"),46500)</f>
        <v>46500</v>
      </c>
      <c r="N186" s="93">
        <f ca="1">IFERROR(__xludf.DUMMYFUNCTION("IMPORTRANGE(""https://docs.google.com/spreadsheets/d/1MeEWN-I1oV_STSDYn1IFDPWt_1FKiwhDph83XaGc0o0/edit?usp=sharing"",""งบพรบ!CV21"")"),26440)</f>
        <v>26440</v>
      </c>
      <c r="O186" s="93">
        <f t="shared" ca="1" si="93"/>
        <v>49.886792452830186</v>
      </c>
      <c r="P186" s="93">
        <f t="shared" ca="1" si="94"/>
        <v>56.86021505376344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IFERROR(__xludf.DUMMYFUNCTION("IMPORTRANGE(""https://docs.google.com/spreadsheets/d/1MeEWN-I1oV_STSDYn1IFDPWt_1FKiwhDph83XaGc0o0/edit?usp=sharing"",""งบพรบ!CR21"")"),0)</f>
        <v>0</v>
      </c>
      <c r="M189" s="93">
        <f ca="1">IFERROR(__xludf.DUMMYFUNCTION("IMPORTRANGE(""https://docs.google.com/spreadsheets/d/1MeEWN-I1oV_STSDYn1IFDPWt_1FKiwhDph83XaGc0o0/edit?usp=sharing"",""งบพรบ!CU21"")"),0)</f>
        <v>0</v>
      </c>
      <c r="N189" s="93">
        <f ca="1">IFERROR(__xludf.DUMMYFUNCTION("IMPORTRANGE(""https://docs.google.com/spreadsheets/d/1MeEWN-I1oV_STSDYn1IFDPWt_1FKiwhDph83XaGc0o0/edit?usp=sharing"",""งบพรบ!CW21"")"),0)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19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IFERROR(__xludf.DUMMYFUNCTION("IMPORTRANGE(""https://docs.google.com/spreadsheets/d/1QqKyyYR6Q21VydFLVH3TRQUabQu_ym0Zz7PgGX0-kHA/edit?usp=sharing"",""แผน!Z21"")"),6000)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6" t="s">
        <v>38</v>
      </c>
      <c r="E192" s="173"/>
      <c r="F192" s="173"/>
      <c r="G192" s="174"/>
      <c r="H192" s="729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1" t="s">
        <v>90</v>
      </c>
      <c r="I193" s="270">
        <f ca="1">IFERROR(__xludf.DUMMYFUNCTION("IMPORTRANGE(""https://docs.google.com/spreadsheets/d/1QqKyyYR6Q21VydFLVH3TRQUabQu_ym0Zz7PgGX0-kHA/edit?usp=sharing"",""แผน!AC21"")"),4)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53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53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19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79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IFERROR(__xludf.DUMMYFUNCTION("IMPORTRANGE(""https://docs.google.com/spreadsheets/d/1QqKyyYR6Q21VydFLVH3TRQUabQu_ym0Zz7PgGX0-kHA/edit?usp=sharing"",""แผน!AE21"")"),3000)</f>
        <v>3000</v>
      </c>
      <c r="M199" s="466"/>
      <c r="N199" s="801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0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IFERROR(__xludf.DUMMYFUNCTION("IMPORTRANGE(""https://docs.google.com/spreadsheets/d/1QqKyyYR6Q21VydFLVH3TRQUabQu_ym0Zz7PgGX0-kHA/edit?usp=sharing"",""แผน!AF21"")"),24000)</f>
        <v>24000</v>
      </c>
      <c r="M200" s="466"/>
      <c r="N200" s="801">
        <v>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0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IFERROR(__xludf.DUMMYFUNCTION("IMPORTRANGE(""https://docs.google.com/spreadsheets/d/1QqKyyYR6Q21VydFLVH3TRQUabQu_ym0Zz7PgGX0-kHA/edit?usp=sharing"",""แผน!AG21"")"),12000)</f>
        <v>12000</v>
      </c>
      <c r="M201" s="466"/>
      <c r="N201" s="801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0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IFERROR(__xludf.DUMMYFUNCTION("IMPORTRANGE(""https://docs.google.com/spreadsheets/d/1QqKyyYR6Q21VydFLVH3TRQUabQu_ym0Zz7PgGX0-kHA/edit?usp=sharing"",""แผน!AH21"")"),0)</f>
        <v>0</v>
      </c>
      <c r="M202" s="466"/>
      <c r="N202" s="801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6" t="s">
        <v>38</v>
      </c>
      <c r="E203" s="173"/>
      <c r="F203" s="173"/>
      <c r="G203" s="174"/>
      <c r="H203" s="72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29" t="s">
        <v>96</v>
      </c>
      <c r="I204" s="270">
        <f ca="1">IFERROR(__xludf.DUMMYFUNCTION("IMPORTRANGE(""https://docs.google.com/spreadsheets/d/1QqKyyYR6Q21VydFLVH3TRQUabQu_ym0Zz7PgGX0-kHA/edit?usp=sharing"",""แผน!AI21"")"),3)</f>
        <v>3</v>
      </c>
      <c r="J204" s="215">
        <v>0</v>
      </c>
      <c r="K204" s="163">
        <f ca="1">IF(I204&gt;0,J204*100/I204,0)</f>
        <v>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29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5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19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79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IFERROR(__xludf.DUMMYFUNCTION("IMPORTRANGE(""https://docs.google.com/spreadsheets/d/1QqKyyYR6Q21VydFLVH3TRQUabQu_ym0Zz7PgGX0-kHA/edit?usp=sharing"",""แผน!AK21"")"),0)</f>
        <v>0</v>
      </c>
      <c r="M210" s="466"/>
      <c r="N210" s="801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79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IFERROR(__xludf.DUMMYFUNCTION("IMPORTRANGE(""https://docs.google.com/spreadsheets/d/1QqKyyYR6Q21VydFLVH3TRQUabQu_ym0Zz7PgGX0-kHA/edit?usp=sharing"",""แผน!AL21"")"),0)</f>
        <v>0</v>
      </c>
      <c r="M211" s="466"/>
      <c r="N211" s="801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79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IFERROR(__xludf.DUMMYFUNCTION("IMPORTRANGE(""https://docs.google.com/spreadsheets/d/1QqKyyYR6Q21VydFLVH3TRQUabQu_ym0Zz7PgGX0-kHA/edit?usp=sharing"",""แผน!AM21"")"),0)</f>
        <v>0</v>
      </c>
      <c r="M212" s="466"/>
      <c r="N212" s="801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6" t="s">
        <v>38</v>
      </c>
      <c r="E213" s="173"/>
      <c r="F213" s="173"/>
      <c r="G213" s="174"/>
      <c r="H213" s="729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29" t="s">
        <v>96</v>
      </c>
      <c r="I214" s="270">
        <f ca="1">IFERROR(__xludf.DUMMYFUNCTION("IMPORTRANGE(""https://docs.google.com/spreadsheets/d/1QqKyyYR6Q21VydFLVH3TRQUabQu_ym0Zz7PgGX0-kHA/edit?usp=sharing"",""แผน!AN21"")"),0)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29" t="s">
        <v>96</v>
      </c>
      <c r="I215" s="270">
        <f ca="1">IFERROR(__xludf.DUMMYFUNCTION("IMPORTRANGE(""https://docs.google.com/spreadsheets/d/1QqKyyYR6Q21VydFLVH3TRQUabQu_ym0Zz7PgGX0-kHA/edit?usp=sharing"",""แผน!AN21"")"),0)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19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79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IFERROR(__xludf.DUMMYFUNCTION("IMPORTRANGE(""https://docs.google.com/spreadsheets/d/1QqKyyYR6Q21VydFLVH3TRQUabQu_ym0Zz7PgGX0-kHA/edit?usp=sharing"",""แผน!AP21"")"),3000)</f>
        <v>3000</v>
      </c>
      <c r="M218" s="466"/>
      <c r="N218" s="801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79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IFERROR(__xludf.DUMMYFUNCTION("IMPORTRANGE(""https://docs.google.com/spreadsheets/d/1QqKyyYR6Q21VydFLVH3TRQUabQu_ym0Zz7PgGX0-kHA/edit?usp=sharing"",""แผน!AQ21"")"),5000)</f>
        <v>5000</v>
      </c>
      <c r="M219" s="466"/>
      <c r="N219" s="801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79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IFERROR(__xludf.DUMMYFUNCTION("IMPORTRANGE(""https://docs.google.com/spreadsheets/d/1QqKyyYR6Q21VydFLVH3TRQUabQu_ym0Zz7PgGX0-kHA/edit?usp=sharing"",""แผน!AR21"")"),0)</f>
        <v>0</v>
      </c>
      <c r="M220" s="466"/>
      <c r="N220" s="801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6" t="s">
        <v>38</v>
      </c>
      <c r="E221" s="173"/>
      <c r="F221" s="173"/>
      <c r="G221" s="174"/>
      <c r="H221" s="72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2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1" t="s">
        <v>109</v>
      </c>
      <c r="I223" s="270">
        <f ca="1">IFERROR(__xludf.DUMMYFUNCTION("IMPORTRANGE(""https://docs.google.com/spreadsheets/d/1QqKyyYR6Q21VydFLVH3TRQUabQu_ym0Zz7PgGX0-kHA/edit?usp=sharing"",""แผน!AT21"")"),20000)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1" t="s">
        <v>109</v>
      </c>
      <c r="I224" s="270">
        <f ca="1">IFERROR(__xludf.DUMMYFUNCTION("IMPORTRANGE(""https://docs.google.com/spreadsheets/d/1QqKyyYR6Q21VydFLVH3TRQUabQu_ym0Zz7PgGX0-kHA/edit?usp=sharing"",""แผน!AT21"")"),20000)</f>
        <v>20000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1" t="s">
        <v>35</v>
      </c>
      <c r="I225" s="270">
        <f ca="1">IFERROR(__xludf.DUMMYFUNCTION("IMPORTRANGE(""https://docs.google.com/spreadsheets/d/1QqKyyYR6Q21VydFLVH3TRQUabQu_ym0Zz7PgGX0-kHA/edit?usp=sharing"",""แผน!AS21"")"),0)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0" t="s">
        <v>115</v>
      </c>
      <c r="D226" s="257"/>
      <c r="E226" s="257"/>
      <c r="F226" s="257"/>
      <c r="G226" s="259"/>
      <c r="H226" s="266" t="s">
        <v>35</v>
      </c>
      <c r="I226" s="821">
        <f t="shared" ref="I226:J226" ca="1" si="105">I237+I248</f>
        <v>0</v>
      </c>
      <c r="J226" s="821">
        <f t="shared" si="105"/>
        <v>0</v>
      </c>
      <c r="K226" s="822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23"/>
      <c r="B227" s="824"/>
      <c r="C227" s="825" t="s">
        <v>16</v>
      </c>
      <c r="D227" s="826" t="s">
        <v>17</v>
      </c>
      <c r="E227" s="824"/>
      <c r="F227" s="824"/>
      <c r="G227" s="827"/>
      <c r="H227" s="828" t="s">
        <v>12</v>
      </c>
      <c r="I227" s="829"/>
      <c r="J227" s="829"/>
      <c r="K227" s="830"/>
      <c r="L227" s="831">
        <f t="shared" ref="L227:L231" ca="1" si="106">L238+L249</f>
        <v>0</v>
      </c>
      <c r="M227" s="831"/>
      <c r="N227" s="831">
        <f t="shared" ref="N227:N231" si="107">N238+N249</f>
        <v>0</v>
      </c>
      <c r="O227" s="832"/>
      <c r="P227" s="83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3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3"/>
      <c r="B229" s="543"/>
      <c r="C229" s="834"/>
      <c r="D229" s="223" t="s">
        <v>98</v>
      </c>
      <c r="E229" s="40"/>
      <c r="F229" s="40"/>
      <c r="G229" s="42"/>
      <c r="H229" s="165" t="s">
        <v>12</v>
      </c>
      <c r="I229" s="584"/>
      <c r="J229" s="584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35"/>
      <c r="R229" s="835"/>
      <c r="S229" s="835"/>
      <c r="T229" s="835"/>
      <c r="U229" s="835"/>
      <c r="V229" s="835"/>
      <c r="W229" s="835"/>
      <c r="X229" s="835"/>
      <c r="Y229" s="835"/>
      <c r="Z229" s="835"/>
    </row>
    <row r="230" spans="1:26" ht="19.5" hidden="1">
      <c r="A230" s="833"/>
      <c r="B230" s="543"/>
      <c r="C230" s="834"/>
      <c r="D230" s="223" t="s">
        <v>116</v>
      </c>
      <c r="E230" s="40"/>
      <c r="F230" s="40"/>
      <c r="G230" s="42"/>
      <c r="H230" s="165" t="s">
        <v>12</v>
      </c>
      <c r="I230" s="584"/>
      <c r="J230" s="584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35"/>
      <c r="R230" s="835"/>
      <c r="S230" s="835"/>
      <c r="T230" s="835"/>
      <c r="U230" s="835"/>
      <c r="V230" s="835"/>
      <c r="W230" s="835"/>
      <c r="X230" s="835"/>
      <c r="Y230" s="835"/>
      <c r="Z230" s="835"/>
    </row>
    <row r="231" spans="1:26" ht="19.5" hidden="1">
      <c r="A231" s="833"/>
      <c r="B231" s="543"/>
      <c r="C231" s="834"/>
      <c r="D231" s="223" t="s">
        <v>100</v>
      </c>
      <c r="E231" s="40"/>
      <c r="F231" s="40"/>
      <c r="G231" s="42"/>
      <c r="H231" s="165" t="s">
        <v>12</v>
      </c>
      <c r="I231" s="584"/>
      <c r="J231" s="584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35"/>
      <c r="R231" s="835"/>
      <c r="S231" s="835"/>
      <c r="T231" s="835"/>
      <c r="U231" s="835"/>
      <c r="V231" s="835"/>
      <c r="W231" s="835"/>
      <c r="X231" s="835"/>
      <c r="Y231" s="835"/>
      <c r="Z231" s="835"/>
    </row>
    <row r="232" spans="1:26" ht="19.5" hidden="1">
      <c r="A232" s="836"/>
      <c r="B232" s="837"/>
      <c r="C232" s="834" t="s">
        <v>16</v>
      </c>
      <c r="D232" s="267" t="s">
        <v>38</v>
      </c>
      <c r="E232" s="838"/>
      <c r="F232" s="838"/>
      <c r="G232" s="839"/>
      <c r="H232" s="582"/>
      <c r="I232" s="166"/>
      <c r="J232" s="584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6"/>
      <c r="B233" s="837"/>
      <c r="C233" s="837"/>
      <c r="D233" s="269" t="s">
        <v>117</v>
      </c>
      <c r="E233" s="537"/>
      <c r="F233" s="537"/>
      <c r="G233" s="840"/>
      <c r="H233" s="583" t="s">
        <v>35</v>
      </c>
      <c r="I233" s="584">
        <f t="shared" ref="I233:J233" ca="1" si="108">I244+I255</f>
        <v>0</v>
      </c>
      <c r="J233" s="584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6"/>
      <c r="B234" s="837"/>
      <c r="C234" s="837"/>
      <c r="D234" s="841" t="s">
        <v>43</v>
      </c>
      <c r="E234" s="537"/>
      <c r="F234" s="537"/>
      <c r="G234" s="840"/>
      <c r="H234" s="583"/>
      <c r="I234" s="584"/>
      <c r="J234" s="584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6"/>
      <c r="B235" s="837"/>
      <c r="C235" s="837"/>
      <c r="D235" s="837"/>
      <c r="E235" s="268" t="s">
        <v>118</v>
      </c>
      <c r="F235" s="537"/>
      <c r="G235" s="840"/>
      <c r="H235" s="583" t="s">
        <v>35</v>
      </c>
      <c r="I235" s="584">
        <f t="shared" ref="I235:J236" si="109">I246+I257</f>
        <v>0</v>
      </c>
      <c r="J235" s="584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6"/>
      <c r="B236" s="837"/>
      <c r="C236" s="837"/>
      <c r="D236" s="837"/>
      <c r="E236" s="268" t="s">
        <v>119</v>
      </c>
      <c r="F236" s="537"/>
      <c r="G236" s="840"/>
      <c r="H236" s="583" t="s">
        <v>66</v>
      </c>
      <c r="I236" s="584">
        <f t="shared" si="109"/>
        <v>0</v>
      </c>
      <c r="J236" s="584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5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IFERROR(__xludf.DUMMYFUNCTION("IMPORTRANGE(""https://docs.google.com/spreadsheets/d/1QqKyyYR6Q21VydFLVH3TRQUabQu_ym0Zz7PgGX0-kHA/edit?usp=sharing"",""แผน!AV21"")"),0)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IFERROR(__xludf.DUMMYFUNCTION("IMPORTRANGE(""https://docs.google.com/spreadsheets/d/1QqKyyYR6Q21VydFLVH3TRQUabQu_ym0Zz7PgGX0-kHA/edit?usp=sharing"",""แผน!AW21"")"),0)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IFERROR(__xludf.DUMMYFUNCTION("IMPORTRANGE(""https://docs.google.com/spreadsheets/d/1QqKyyYR6Q21VydFLVH3TRQUabQu_ym0Zz7PgGX0-kHA/edit?usp=sharing"",""แผน!AX21"")"),0)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IFERROR(__xludf.DUMMYFUNCTION("IMPORTRANGE(""https://docs.google.com/spreadsheets/d/1QqKyyYR6Q21VydFLVH3TRQUabQu_ym0Zz7PgGX0-kHA/edit?usp=sharing"",""แผน!AY21"")"),0)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6" t="s">
        <v>38</v>
      </c>
      <c r="E243" s="173"/>
      <c r="F243" s="173"/>
      <c r="G243" s="174"/>
      <c r="H243" s="729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1" t="s">
        <v>35</v>
      </c>
      <c r="I244" s="270">
        <f ca="1">IFERROR(__xludf.DUMMYFUNCTION("IMPORTRANGE(""https://docs.google.com/spreadsheets/d/1QqKyyYR6Q21VydFLVH3TRQUabQu_ym0Zz7PgGX0-kHA/edit?usp=sharing"",""แผน!BE21"")"),0)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1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1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1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19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IFERROR(__xludf.DUMMYFUNCTION("IMPORTRANGE(""https://docs.google.com/spreadsheets/d/1QqKyyYR6Q21VydFLVH3TRQUabQu_ym0Zz7PgGX0-kHA/edit?usp=sharing"",""แผน!AZ21"")"),0)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IFERROR(__xludf.DUMMYFUNCTION("IMPORTRANGE(""https://docs.google.com/spreadsheets/d/1QqKyyYR6Q21VydFLVH3TRQUabQu_ym0Zz7PgGX0-kHA/edit?usp=sharing"",""แผน!BA21"")"),0)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IFERROR(__xludf.DUMMYFUNCTION("IMPORTRANGE(""https://docs.google.com/spreadsheets/d/1QqKyyYR6Q21VydFLVH3TRQUabQu_ym0Zz7PgGX0-kHA/edit?usp=sharing"",""แผน!BB21"")"),0)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IFERROR(__xludf.DUMMYFUNCTION("IMPORTRANGE(""https://docs.google.com/spreadsheets/d/1QqKyyYR6Q21VydFLVH3TRQUabQu_ym0Zz7PgGX0-kHA/edit?usp=sharing"",""แผน!BC21"")"),0)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6" t="s">
        <v>38</v>
      </c>
      <c r="E254" s="173"/>
      <c r="F254" s="173"/>
      <c r="G254" s="174"/>
      <c r="H254" s="729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1" t="s">
        <v>35</v>
      </c>
      <c r="I255" s="270">
        <f ca="1">IFERROR(__xludf.DUMMYFUNCTION("IMPORTRANGE(""https://docs.google.com/spreadsheets/d/1QqKyyYR6Q21VydFLVH3TRQUabQu_ym0Zz7PgGX0-kHA/edit?usp=sharing"",""แผน!BF21"")"),0)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1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1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1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5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312900</v>
      </c>
      <c r="M261" s="155">
        <f t="shared" ca="1" si="116"/>
        <v>231900</v>
      </c>
      <c r="N261" s="155">
        <f t="shared" ca="1" si="116"/>
        <v>125646.68</v>
      </c>
      <c r="O261" s="155">
        <f t="shared" ref="O261:O269" ca="1" si="117">IF(L261&gt;0,N261*100/L261,0)</f>
        <v>40.155538510706293</v>
      </c>
      <c r="P261" s="155">
        <f t="shared" ref="P261:P269" ca="1" si="118">IF(M261&gt;0,N261*100/M261,0)</f>
        <v>54.18140577835274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4"/>
      <c r="J262" s="584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4"/>
      <c r="J263" s="584"/>
      <c r="K263" s="93"/>
      <c r="L263" s="93">
        <f t="shared" ca="1" si="119"/>
        <v>312900</v>
      </c>
      <c r="M263" s="93">
        <f t="shared" ca="1" si="119"/>
        <v>231900</v>
      </c>
      <c r="N263" s="93">
        <f t="shared" ca="1" si="119"/>
        <v>125646.68</v>
      </c>
      <c r="O263" s="93">
        <f t="shared" ca="1" si="117"/>
        <v>40.155538510706293</v>
      </c>
      <c r="P263" s="93">
        <f t="shared" ca="1" si="118"/>
        <v>54.18140577835274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79" t="s">
        <v>12</v>
      </c>
      <c r="I264" s="184"/>
      <c r="J264" s="184"/>
      <c r="K264" s="163"/>
      <c r="L264" s="466">
        <f t="shared" ref="L264:N264" ca="1" si="120">L265+L266</f>
        <v>312900</v>
      </c>
      <c r="M264" s="466">
        <f t="shared" ca="1" si="120"/>
        <v>231900</v>
      </c>
      <c r="N264" s="466">
        <f t="shared" ca="1" si="120"/>
        <v>125646.68</v>
      </c>
      <c r="O264" s="466">
        <f t="shared" ca="1" si="117"/>
        <v>40.155538510706293</v>
      </c>
      <c r="P264" s="466">
        <f t="shared" ca="1" si="118"/>
        <v>54.18140577835274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IFERROR(__xludf.DUMMYFUNCTION("IMPORTRANGE(""https://docs.google.com/spreadsheets/d/1MeEWN-I1oV_STSDYn1IFDPWt_1FKiwhDph83XaGc0o0/edit?usp=sharing"",""งบพรบ!CY21"")"),312900)</f>
        <v>312900</v>
      </c>
      <c r="M266" s="93">
        <f ca="1">IFERROR(__xludf.DUMMYFUNCTION("IMPORTRANGE(""https://docs.google.com/spreadsheets/d/1MeEWN-I1oV_STSDYn1IFDPWt_1FKiwhDph83XaGc0o0/edit?usp=sharing"",""งบพรบ!DD21"")"),231900)</f>
        <v>231900</v>
      </c>
      <c r="N266" s="93">
        <f ca="1">IFERROR(__xludf.DUMMYFUNCTION("IMPORTRANGE(""https://docs.google.com/spreadsheets/d/1MeEWN-I1oV_STSDYn1IFDPWt_1FKiwhDph83XaGc0o0/edit?usp=sharing"",""งบพรบ!DF21"")"),125646.68)</f>
        <v>125646.68</v>
      </c>
      <c r="O266" s="93">
        <f t="shared" ca="1" si="117"/>
        <v>40.155538510706293</v>
      </c>
      <c r="P266" s="93">
        <f t="shared" ca="1" si="118"/>
        <v>54.18140577835274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IFERROR(__xludf.DUMMYFUNCTION("IMPORTRANGE(""https://docs.google.com/spreadsheets/d/1MeEWN-I1oV_STSDYn1IFDPWt_1FKiwhDph83XaGc0o0/edit?usp=sharing"",""งบพรบ!DB21"")"),0)</f>
        <v>0</v>
      </c>
      <c r="M269" s="93">
        <f ca="1">IFERROR(__xludf.DUMMYFUNCTION("IMPORTRANGE(""https://docs.google.com/spreadsheets/d/1MeEWN-I1oV_STSDYn1IFDPWt_1FKiwhDph83XaGc0o0/edit?usp=sharing"",""งบพรบ!DE21"")"),0)</f>
        <v>0</v>
      </c>
      <c r="N269" s="93">
        <f ca="1">IFERROR(__xludf.DUMMYFUNCTION("IMPORTRANGE(""https://docs.google.com/spreadsheets/d/1MeEWN-I1oV_STSDYn1IFDPWt_1FKiwhDph83XaGc0o0/edit?usp=sharing"",""งบพรบ!DG21"")"),0)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6" t="s">
        <v>38</v>
      </c>
      <c r="E270" s="173"/>
      <c r="F270" s="173"/>
      <c r="G270" s="174"/>
      <c r="H270" s="72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69">
        <v>0</v>
      </c>
      <c r="J272" s="469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62">
        <f t="shared" ref="I276:J276" ca="1" si="124">I287</f>
        <v>100</v>
      </c>
      <c r="J276" s="862">
        <f t="shared" si="124"/>
        <v>100</v>
      </c>
      <c r="K276" s="377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45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189110</v>
      </c>
      <c r="M277" s="155">
        <f t="shared" ca="1" si="125"/>
        <v>152060</v>
      </c>
      <c r="N277" s="155">
        <f t="shared" ca="1" si="125"/>
        <v>90374.1</v>
      </c>
      <c r="O277" s="155">
        <f t="shared" ref="O277:O285" ca="1" si="126">IF(L277&gt;0,N277*100/L277,0)</f>
        <v>47.789170324149964</v>
      </c>
      <c r="P277" s="155">
        <f t="shared" ref="P277:P285" ca="1" si="127">IF(M277&gt;0,N277*100/M277,0)</f>
        <v>59.433184269367352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4"/>
      <c r="J278" s="584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4"/>
      <c r="J279" s="584"/>
      <c r="K279" s="93"/>
      <c r="L279" s="93">
        <f t="shared" ca="1" si="128"/>
        <v>189110</v>
      </c>
      <c r="M279" s="93">
        <f t="shared" ca="1" si="128"/>
        <v>152060</v>
      </c>
      <c r="N279" s="93">
        <f t="shared" ca="1" si="128"/>
        <v>90374.1</v>
      </c>
      <c r="O279" s="93">
        <f t="shared" ca="1" si="126"/>
        <v>47.789170324149964</v>
      </c>
      <c r="P279" s="93">
        <f t="shared" ca="1" si="127"/>
        <v>59.433184269367352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79" t="s">
        <v>12</v>
      </c>
      <c r="I280" s="184"/>
      <c r="J280" s="184"/>
      <c r="K280" s="163"/>
      <c r="L280" s="466">
        <f t="shared" ref="L280:N280" ca="1" si="129">L281+L282</f>
        <v>189110</v>
      </c>
      <c r="M280" s="466">
        <f t="shared" ca="1" si="129"/>
        <v>152060</v>
      </c>
      <c r="N280" s="466">
        <f t="shared" ca="1" si="129"/>
        <v>90374.1</v>
      </c>
      <c r="O280" s="466">
        <f t="shared" ca="1" si="126"/>
        <v>47.789170324149964</v>
      </c>
      <c r="P280" s="466">
        <f t="shared" ca="1" si="127"/>
        <v>59.433184269367352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IFERROR(__xludf.DUMMYFUNCTION("IMPORTRANGE(""https://docs.google.com/spreadsheets/d/1MeEWN-I1oV_STSDYn1IFDPWt_1FKiwhDph83XaGc0o0/edit?usp=sharing"",""งบพรบ!DI21"")"),189110)</f>
        <v>189110</v>
      </c>
      <c r="M282" s="93">
        <f ca="1">IFERROR(__xludf.DUMMYFUNCTION("IMPORTRANGE(""https://docs.google.com/spreadsheets/d/1MeEWN-I1oV_STSDYn1IFDPWt_1FKiwhDph83XaGc0o0/edit?usp=sharing"",""งบพรบ!DN21"")"),152060)</f>
        <v>152060</v>
      </c>
      <c r="N282" s="93">
        <f ca="1">IFERROR(__xludf.DUMMYFUNCTION("IMPORTRANGE(""https://docs.google.com/spreadsheets/d/1MeEWN-I1oV_STSDYn1IFDPWt_1FKiwhDph83XaGc0o0/edit?usp=sharing"",""งบพรบ!DP21"")"),90374.1)</f>
        <v>90374.1</v>
      </c>
      <c r="O282" s="93">
        <f t="shared" ca="1" si="126"/>
        <v>47.789170324149964</v>
      </c>
      <c r="P282" s="93">
        <f t="shared" ca="1" si="127"/>
        <v>59.433184269367352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IFERROR(__xludf.DUMMYFUNCTION("IMPORTRANGE(""https://docs.google.com/spreadsheets/d/1MeEWN-I1oV_STSDYn1IFDPWt_1FKiwhDph83XaGc0o0/edit?usp=sharing"",""งบพรบ!DL21"")"),0)</f>
        <v>0</v>
      </c>
      <c r="M285" s="93">
        <f ca="1">IFERROR(__xludf.DUMMYFUNCTION("IMPORTRANGE(""https://docs.google.com/spreadsheets/d/1MeEWN-I1oV_STSDYn1IFDPWt_1FKiwhDph83XaGc0o0/edit?usp=sharing"",""งบพรบ!DO21"")"),0)</f>
        <v>0</v>
      </c>
      <c r="N285" s="93">
        <f ca="1">IFERROR(__xludf.DUMMYFUNCTION("IMPORTRANGE(""https://docs.google.com/spreadsheets/d/1MeEWN-I1oV_STSDYn1IFDPWt_1FKiwhDph83XaGc0o0/edit?usp=sharing"",""งบพรบ!DQ21"")"),0)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6" t="s">
        <v>38</v>
      </c>
      <c r="E286" s="173"/>
      <c r="F286" s="173"/>
      <c r="G286" s="174"/>
      <c r="H286" s="72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3" t="s">
        <v>129</v>
      </c>
      <c r="E287" s="171"/>
      <c r="F287" s="343"/>
      <c r="G287" s="179"/>
      <c r="H287" s="778" t="s">
        <v>46</v>
      </c>
      <c r="I287" s="270">
        <f ca="1">IFERROR(__xludf.DUMMYFUNCTION("IMPORTRANGE(""https://docs.google.com/spreadsheets/d/1QqKyyYR6Q21VydFLVH3TRQUabQu_ym0Zz7PgGX0-kHA/edit?usp=sharing"",""แผน!EC21"")"),100)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3" t="s">
        <v>130</v>
      </c>
      <c r="E288" s="171"/>
      <c r="F288" s="343"/>
      <c r="G288" s="179"/>
      <c r="H288" s="180" t="s">
        <v>35</v>
      </c>
      <c r="I288" s="648">
        <f ca="1">IFERROR(__xludf.DUMMYFUNCTION("IMPORTRANGE(""https://docs.google.com/spreadsheets/d/1QqKyyYR6Q21VydFLVH3TRQUabQu_ym0Zz7PgGX0-kHA/edit?usp=sharing"",""แผน!EB21"")"),10)</f>
        <v>10</v>
      </c>
      <c r="J288" s="648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3" t="s">
        <v>132</v>
      </c>
      <c r="F290" s="343"/>
      <c r="G290" s="179"/>
      <c r="H290" s="731" t="s">
        <v>35</v>
      </c>
      <c r="I290" s="184">
        <f ca="1">IFERROR(__xludf.DUMMYFUNCTION("IMPORTRANGE(""https://docs.google.com/spreadsheets/d/1QqKyyYR6Q21VydFLVH3TRQUabQu_ym0Zz7PgGX0-kHA/edit?usp=sharing"",""แผน!EB21"")"),10)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3" t="s">
        <v>133</v>
      </c>
      <c r="F291" s="343"/>
      <c r="G291" s="179"/>
      <c r="H291" s="731" t="s">
        <v>35</v>
      </c>
      <c r="I291" s="184">
        <f ca="1">IFERROR(__xludf.DUMMYFUNCTION("IMPORTRANGE(""https://docs.google.com/spreadsheets/d/1QqKyyYR6Q21VydFLVH3TRQUabQu_ym0Zz7PgGX0-kHA/edit?usp=sharing"",""แผน!EB21"")"),10)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3" t="s">
        <v>132</v>
      </c>
      <c r="F293" s="343"/>
      <c r="G293" s="179"/>
      <c r="H293" s="731" t="s">
        <v>35</v>
      </c>
      <c r="I293" s="184">
        <f ca="1">IFERROR(__xludf.DUMMYFUNCTION("IMPORTRANGE(""https://docs.google.com/spreadsheets/d/1QqKyyYR6Q21VydFLVH3TRQUabQu_ym0Zz7PgGX0-kHA/edit?usp=sharing"",""แผน!EB21"")"),10)</f>
        <v>10</v>
      </c>
      <c r="J293" s="215"/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1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IFERROR(__xludf.DUMMYFUNCTION("IMPORTRANGE(""https://docs.google.com/spreadsheets/d/1QqKyyYR6Q21VydFLVH3TRQUabQu_ym0Zz7PgGX0-kHA/edit?usp=sharing"",""แผน!EB21"")"),10)</f>
        <v>10</v>
      </c>
      <c r="J294" s="393"/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45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4"/>
      <c r="J299" s="584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4"/>
      <c r="J300" s="584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79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IFERROR(__xludf.DUMMYFUNCTION("IMPORTRANGE(""https://docs.google.com/spreadsheets/d/1MeEWN-I1oV_STSDYn1IFDPWt_1FKiwhDph83XaGc0o0/edit?usp=sharing"",""งบพรบ!DS21"")"),0)</f>
        <v>0</v>
      </c>
      <c r="M303" s="93">
        <f ca="1">IFERROR(__xludf.DUMMYFUNCTION("IMPORTRANGE(""https://docs.google.com/spreadsheets/d/1MeEWN-I1oV_STSDYn1IFDPWt_1FKiwhDph83XaGc0o0/edit?usp=sharing"",""งบพรบ!DX21"")"),0)</f>
        <v>0</v>
      </c>
      <c r="N303" s="93">
        <f ca="1">IFERROR(__xludf.DUMMYFUNCTION("IMPORTRANGE(""https://docs.google.com/spreadsheets/d/1MeEWN-I1oV_STSDYn1IFDPWt_1FKiwhDph83XaGc0o0/edit?usp=sharing"",""งบพรบ!DZ21"")"),0)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IFERROR(__xludf.DUMMYFUNCTION("IMPORTRANGE(""https://docs.google.com/spreadsheets/d/1MeEWN-I1oV_STSDYn1IFDPWt_1FKiwhDph83XaGc0o0/edit?usp=sharing"",""งบพรบ!DV21"")"),0)</f>
        <v>0</v>
      </c>
      <c r="M306" s="93">
        <f ca="1">IFERROR(__xludf.DUMMYFUNCTION("IMPORTRANGE(""https://docs.google.com/spreadsheets/d/1MeEWN-I1oV_STSDYn1IFDPWt_1FKiwhDph83XaGc0o0/edit?usp=sharing"",""งบพรบ!DY21"")"),0)</f>
        <v>0</v>
      </c>
      <c r="N306" s="93">
        <f ca="1">IFERROR(__xludf.DUMMYFUNCTION("IMPORTRANGE(""https://docs.google.com/spreadsheets/d/1MeEWN-I1oV_STSDYn1IFDPWt_1FKiwhDph83XaGc0o0/edit?usp=sharing"",""งบพรบ!EA21"")"),0)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6" t="s">
        <v>38</v>
      </c>
      <c r="E307" s="173"/>
      <c r="F307" s="173"/>
      <c r="G307" s="174"/>
      <c r="H307" s="729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1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1" t="s">
        <v>35</v>
      </c>
      <c r="I309" s="270">
        <f ca="1">IFERROR(__xludf.DUMMYFUNCTION("IMPORTRANGE(""https://docs.google.com/spreadsheets/d/1QqKyyYR6Q21VydFLVH3TRQUabQu_ym0Zz7PgGX0-kHA/edit?usp=sharing"",""แผน!ED21"")"),0)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1" t="s">
        <v>35</v>
      </c>
      <c r="I310" s="270">
        <f ca="1">IFERROR(__xludf.DUMMYFUNCTION("IMPORTRANGE(""https://docs.google.com/spreadsheets/d/1QqKyyYR6Q21VydFLVH3TRQUabQu_ym0Zz7PgGX0-kHA/edit?usp=sharing"",""แผน!ED21"")"),0)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1" t="s">
        <v>35</v>
      </c>
      <c r="I311" s="270">
        <f ca="1">IFERROR(__xludf.DUMMYFUNCTION("IMPORTRANGE(""https://docs.google.com/spreadsheets/d/1QqKyyYR6Q21VydFLVH3TRQUabQu_ym0Zz7PgGX0-kHA/edit?usp=sharing"",""แผน!ED21"")"),0)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1" t="s">
        <v>35</v>
      </c>
      <c r="I312" s="270">
        <f ca="1">IFERROR(__xludf.DUMMYFUNCTION("IMPORTRANGE(""https://docs.google.com/spreadsheets/d/1QqKyyYR6Q21VydFLVH3TRQUabQu_ym0Zz7PgGX0-kHA/edit?usp=sharing"",""แผน!EE21"")"),0)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45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4"/>
      <c r="J316" s="584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4"/>
      <c r="J317" s="584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79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IFERROR(__xludf.DUMMYFUNCTION("IMPORTRANGE(""https://docs.google.com/spreadsheets/d/1MeEWN-I1oV_STSDYn1IFDPWt_1FKiwhDph83XaGc0o0/edit?usp=sharing"",""งบพรบ!EC21"")"),0)</f>
        <v>0</v>
      </c>
      <c r="M320" s="93">
        <f ca="1">IFERROR(__xludf.DUMMYFUNCTION("IMPORTRANGE(""https://docs.google.com/spreadsheets/d/1MeEWN-I1oV_STSDYn1IFDPWt_1FKiwhDph83XaGc0o0/edit?usp=sharing"",""งบพรบ!EH21"")"),0)</f>
        <v>0</v>
      </c>
      <c r="N320" s="93">
        <f ca="1">IFERROR(__xludf.DUMMYFUNCTION("IMPORTRANGE(""https://docs.google.com/spreadsheets/d/1MeEWN-I1oV_STSDYn1IFDPWt_1FKiwhDph83XaGc0o0/edit?usp=sharing"",""งบพรบ!EJ21"")"),0)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IFERROR(__xludf.DUMMYFUNCTION("IMPORTRANGE(""https://docs.google.com/spreadsheets/d/1MeEWN-I1oV_STSDYn1IFDPWt_1FKiwhDph83XaGc0o0/edit?usp=sharing"",""งบพรบ!EF21"")"),0)</f>
        <v>0</v>
      </c>
      <c r="M323" s="93">
        <f ca="1">IFERROR(__xludf.DUMMYFUNCTION("IMPORTRANGE(""https://docs.google.com/spreadsheets/d/1MeEWN-I1oV_STSDYn1IFDPWt_1FKiwhDph83XaGc0o0/edit?usp=sharing"",""งบพรบ!EI21"")"),0)</f>
        <v>0</v>
      </c>
      <c r="N323" s="93">
        <f ca="1">IFERROR(__xludf.DUMMYFUNCTION("IMPORTRANGE(""https://docs.google.com/spreadsheets/d/1MeEWN-I1oV_STSDYn1IFDPWt_1FKiwhDph83XaGc0o0/edit?usp=sharing"",""งบพรบ!EK21"")"),0)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6" t="s">
        <v>38</v>
      </c>
      <c r="E324" s="173"/>
      <c r="F324" s="173"/>
      <c r="G324" s="174"/>
      <c r="H324" s="729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0" t="s">
        <v>146</v>
      </c>
      <c r="I325" s="270">
        <f ca="1">IFERROR(__xludf.DUMMYFUNCTION("IMPORTRANGE(""https://docs.google.com/spreadsheets/d/1QqKyyYR6Q21VydFLVH3TRQUabQu_ym0Zz7PgGX0-kHA/edit?usp=sharing"",""แผน!EF21"")"),0)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IFERROR(__xludf.DUMMYFUNCTION("IMPORTRANGE(""https://docs.google.com/spreadsheets/d/1QqKyyYR6Q21VydFLVH3TRQUabQu_ym0Zz7PgGX0-kHA/edit?usp=sharing"",""แผน!EG21"")"),1000)</f>
        <v>1000</v>
      </c>
      <c r="J327" s="413">
        <f ca="1">J338+J341+J342+J343</f>
        <v>560</v>
      </c>
      <c r="K327" s="414">
        <f ca="1">IF(I327&gt;0,J327*100/I327,0)</f>
        <v>56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45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161000</v>
      </c>
      <c r="M328" s="155">
        <f t="shared" ca="1" si="149"/>
        <v>120750</v>
      </c>
      <c r="N328" s="155">
        <f t="shared" ca="1" si="149"/>
        <v>52046</v>
      </c>
      <c r="O328" s="155">
        <f t="shared" ref="O328:O336" ca="1" si="150">IF(L328&gt;0,N328*100/L328,0)</f>
        <v>32.32670807453416</v>
      </c>
      <c r="P328" s="155">
        <f t="shared" ref="P328:P336" ca="1" si="151">IF(M328&gt;0,N328*100/M328,0)</f>
        <v>43.102277432712214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4"/>
      <c r="J329" s="584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4"/>
      <c r="J330" s="584"/>
      <c r="K330" s="93"/>
      <c r="L330" s="93">
        <f t="shared" ca="1" si="152"/>
        <v>161000</v>
      </c>
      <c r="M330" s="93">
        <f t="shared" ca="1" si="152"/>
        <v>120750</v>
      </c>
      <c r="N330" s="93">
        <f t="shared" ca="1" si="152"/>
        <v>52046</v>
      </c>
      <c r="O330" s="93">
        <f t="shared" ca="1" si="150"/>
        <v>32.32670807453416</v>
      </c>
      <c r="P330" s="93">
        <f t="shared" ca="1" si="151"/>
        <v>43.102277432712214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79" t="s">
        <v>12</v>
      </c>
      <c r="I331" s="184"/>
      <c r="J331" s="184"/>
      <c r="K331" s="163"/>
      <c r="L331" s="466">
        <f t="shared" ref="L331:N331" ca="1" si="153">L332+L333</f>
        <v>161000</v>
      </c>
      <c r="M331" s="466">
        <f t="shared" ca="1" si="153"/>
        <v>120750</v>
      </c>
      <c r="N331" s="466">
        <f t="shared" ca="1" si="153"/>
        <v>52046</v>
      </c>
      <c r="O331" s="466">
        <f t="shared" ca="1" si="150"/>
        <v>32.32670807453416</v>
      </c>
      <c r="P331" s="466">
        <f t="shared" ca="1" si="151"/>
        <v>43.102277432712214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IFERROR(__xludf.DUMMYFUNCTION("IMPORTRANGE(""https://docs.google.com/spreadsheets/d/1MeEWN-I1oV_STSDYn1IFDPWt_1FKiwhDph83XaGc0o0/edit?usp=sharing"",""งบพรบ!EM21"")"),161000)</f>
        <v>161000</v>
      </c>
      <c r="M333" s="93">
        <f ca="1">IFERROR(__xludf.DUMMYFUNCTION("IMPORTRANGE(""https://docs.google.com/spreadsheets/d/1MeEWN-I1oV_STSDYn1IFDPWt_1FKiwhDph83XaGc0o0/edit?usp=sharing"",""งบพรบ!ER21"")"),120750)</f>
        <v>120750</v>
      </c>
      <c r="N333" s="93">
        <f ca="1">IFERROR(__xludf.DUMMYFUNCTION("IMPORTRANGE(""https://docs.google.com/spreadsheets/d/1MeEWN-I1oV_STSDYn1IFDPWt_1FKiwhDph83XaGc0o0/edit?usp=sharing"",""งบพรบ!ET21"")"),52046)</f>
        <v>52046</v>
      </c>
      <c r="O333" s="93">
        <f t="shared" ca="1" si="150"/>
        <v>32.32670807453416</v>
      </c>
      <c r="P333" s="93">
        <f t="shared" ca="1" si="151"/>
        <v>43.102277432712214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IFERROR(__xludf.DUMMYFUNCTION("IMPORTRANGE(""https://docs.google.com/spreadsheets/d/1MeEWN-I1oV_STSDYn1IFDPWt_1FKiwhDph83XaGc0o0/edit?usp=sharing"",""งบพรบ!EP21"")"),0)</f>
        <v>0</v>
      </c>
      <c r="M336" s="93">
        <f ca="1">IFERROR(__xludf.DUMMYFUNCTION("IMPORTRANGE(""https://docs.google.com/spreadsheets/d/1MeEWN-I1oV_STSDYn1IFDPWt_1FKiwhDph83XaGc0o0/edit?usp=sharing"",""งบพรบ!ES21"")"),0)</f>
        <v>0</v>
      </c>
      <c r="N336" s="93">
        <f ca="1">IFERROR(__xludf.DUMMYFUNCTION("IMPORTRANGE(""https://docs.google.com/spreadsheets/d/1MeEWN-I1oV_STSDYn1IFDPWt_1FKiwhDph83XaGc0o0/edit?usp=sharing"",""งบพรบ!EU21"")"),0)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6" t="s">
        <v>38</v>
      </c>
      <c r="E337" s="173"/>
      <c r="F337" s="173"/>
      <c r="G337" s="174"/>
      <c r="H337" s="729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IFERROR(__xludf.DUMMYFUNCTION("IMPORTRANGE(""https://docs.google.com/spreadsheets/d/1QqKyyYR6Q21VydFLVH3TRQUabQu_ym0Zz7PgGX0-kHA/edit?usp=sharing"",""แผน!EG21"")"),1000)</f>
        <v>1000</v>
      </c>
      <c r="J338" s="270">
        <f ca="1">IFERROR(__xludf.DUMMYFUNCTION("IMPORTRANGE(""https://docs.google.com/spreadsheets/d/1kVcqe37tkHyjCSG3S0O1AXqVkqjo8mSIZil3BcpIysc/edit?usp=sharing"",""ศูนย์!D21"")"),530)</f>
        <v>530</v>
      </c>
      <c r="K338" s="466">
        <f ca="1">IF(I338&gt;0,J338*100/I338,0)</f>
        <v>53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IFERROR(__xludf.DUMMYFUNCTION("IMPORTRANGE(""https://docs.google.com/spreadsheets/d/1QqKyyYR6Q21VydFLVH3TRQUabQu_ym0Zz7PgGX0-kHA/edit?usp=sharing"",""แผน!EH21"")"),4)</f>
        <v>4</v>
      </c>
      <c r="J340" s="270">
        <f ca="1">IFERROR(__xludf.DUMMYFUNCTION("IMPORTRANGE(""https://docs.google.com/spreadsheets/d/1kVcqe37tkHyjCSG3S0O1AXqVkqjo8mSIZil3BcpIysc/edit?usp=sharing"",""ศูนย์!E21"")"),1)</f>
        <v>1</v>
      </c>
      <c r="K340" s="466">
        <f ca="1">IF(I340&gt;0,J340*100/I340,0)</f>
        <v>25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IFERROR(__xludf.DUMMYFUNCTION("IMPORTRANGE(""https://docs.google.com/spreadsheets/d/1kVcqe37tkHyjCSG3S0O1AXqVkqjo8mSIZil3BcpIysc/edit?usp=sharing"",""ศูนย์!F21"")"),30)</f>
        <v>30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IFERROR(__xludf.DUMMYFUNCTION("IMPORTRANGE(""https://docs.google.com/spreadsheets/d/1kVcqe37tkHyjCSG3S0O1AXqVkqjo8mSIZil3BcpIysc/edit?usp=sharing"",""ศูนย์!G21"")"),0)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IFERROR(__xludf.DUMMYFUNCTION("IMPORTRANGE(""https://docs.google.com/spreadsheets/d/1kVcqe37tkHyjCSG3S0O1AXqVkqjo8mSIZil3BcpIysc/edit?usp=sharing"",""ศูนย์!H21"")"),0)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45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894590</v>
      </c>
      <c r="M345" s="155">
        <f t="shared" ca="1" si="155"/>
        <v>657350</v>
      </c>
      <c r="N345" s="155">
        <f t="shared" ca="1" si="155"/>
        <v>331173.5</v>
      </c>
      <c r="O345" s="155">
        <f t="shared" ref="O345:O353" ca="1" si="156">IF(L345&gt;0,N345*100/L345,0)</f>
        <v>37.019584390614696</v>
      </c>
      <c r="P345" s="155">
        <f t="shared" ref="P345:P353" ca="1" si="157">IF(M345&gt;0,N345*100/M345,0)</f>
        <v>50.380086711797368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4"/>
      <c r="J346" s="584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4"/>
      <c r="J347" s="584"/>
      <c r="K347" s="93"/>
      <c r="L347" s="93">
        <f t="shared" ca="1" si="158"/>
        <v>894590</v>
      </c>
      <c r="M347" s="93">
        <f t="shared" ca="1" si="158"/>
        <v>657350</v>
      </c>
      <c r="N347" s="93">
        <f t="shared" ca="1" si="158"/>
        <v>331173.5</v>
      </c>
      <c r="O347" s="93">
        <f t="shared" ca="1" si="156"/>
        <v>37.019584390614696</v>
      </c>
      <c r="P347" s="93">
        <f t="shared" ca="1" si="157"/>
        <v>50.380086711797368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79" t="s">
        <v>12</v>
      </c>
      <c r="I348" s="184"/>
      <c r="J348" s="184"/>
      <c r="K348" s="163"/>
      <c r="L348" s="466">
        <f t="shared" ref="L348:N348" ca="1" si="159">L349+L350</f>
        <v>788990</v>
      </c>
      <c r="M348" s="466">
        <f t="shared" ca="1" si="159"/>
        <v>551750</v>
      </c>
      <c r="N348" s="466">
        <f t="shared" ca="1" si="159"/>
        <v>225573.5</v>
      </c>
      <c r="O348" s="466">
        <f t="shared" ca="1" si="156"/>
        <v>28.590159571097225</v>
      </c>
      <c r="P348" s="466">
        <f t="shared" ca="1" si="157"/>
        <v>40.883280471227913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IFERROR(__xludf.DUMMYFUNCTION("IMPORTRANGE(""https://docs.google.com/spreadsheets/d/1MeEWN-I1oV_STSDYn1IFDPWt_1FKiwhDph83XaGc0o0/edit?usp=sharing"",""งบพรบ!EW21"")"),788990)</f>
        <v>788990</v>
      </c>
      <c r="M350" s="93">
        <f ca="1">IFERROR(__xludf.DUMMYFUNCTION("IMPORTRANGE(""https://docs.google.com/spreadsheets/d/1MeEWN-I1oV_STSDYn1IFDPWt_1FKiwhDph83XaGc0o0/edit?usp=sharing"",""งบพรบ!FB21"")"),551750)</f>
        <v>551750</v>
      </c>
      <c r="N350" s="93">
        <f ca="1">IFERROR(__xludf.DUMMYFUNCTION("IMPORTRANGE(""https://docs.google.com/spreadsheets/d/1MeEWN-I1oV_STSDYn1IFDPWt_1FKiwhDph83XaGc0o0/edit?usp=sharing"",""งบพรบ!FD21"")"),225573.5)</f>
        <v>225573.5</v>
      </c>
      <c r="O350" s="93">
        <f t="shared" ca="1" si="156"/>
        <v>28.590159571097225</v>
      </c>
      <c r="P350" s="93">
        <f t="shared" ca="1" si="157"/>
        <v>40.883280471227913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105600</v>
      </c>
      <c r="M351" s="466">
        <f t="shared" ca="1" si="160"/>
        <v>105600</v>
      </c>
      <c r="N351" s="466">
        <f t="shared" ca="1" si="160"/>
        <v>105600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IFERROR(__xludf.DUMMYFUNCTION("IMPORTRANGE(""https://docs.google.com/spreadsheets/d/1MeEWN-I1oV_STSDYn1IFDPWt_1FKiwhDph83XaGc0o0/edit?usp=sharing"",""งบพรบ!EZ21"")"),105600)</f>
        <v>105600</v>
      </c>
      <c r="M353" s="93">
        <f ca="1">IFERROR(__xludf.DUMMYFUNCTION("IMPORTRANGE(""https://docs.google.com/spreadsheets/d/1MeEWN-I1oV_STSDYn1IFDPWt_1FKiwhDph83XaGc0o0/edit?usp=sharing"",""งบพรบ!FC21"")"),105600)</f>
        <v>105600</v>
      </c>
      <c r="N353" s="93">
        <f ca="1">IFERROR(__xludf.DUMMYFUNCTION("IMPORTRANGE(""https://docs.google.com/spreadsheets/d/1MeEWN-I1oV_STSDYn1IFDPWt_1FKiwhDph83XaGc0o0/edit?usp=sharing"",""งบพรบ!FE21"")"),105600)</f>
        <v>105600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2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43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IFERROR(__xludf.DUMMYFUNCTION("IMPORTRANGE(""https://docs.google.com/spreadsheets/d/1QqKyyYR6Q21VydFLVH3TRQUabQu_ym0Zz7PgGX0-kHA/edit?usp=sharing"",""แผน!EP21"")"),125)</f>
        <v>125</v>
      </c>
      <c r="J355" s="433">
        <f ca="1">J362</f>
        <v>6</v>
      </c>
      <c r="K355" s="434">
        <f ca="1">IF(I355&gt;0,J355*100/I355,0)</f>
        <v>4.8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16" t="s">
        <v>38</v>
      </c>
      <c r="E357" s="173"/>
      <c r="F357" s="173"/>
      <c r="G357" s="174"/>
      <c r="H357" s="729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8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IFERROR(__xludf.DUMMYFUNCTION("IMPORTRANGE(""https://docs.google.com/spreadsheets/d/1XWAQStnk-4SwqDmLtmXYiTMKHgktTP8We1SCoS47DrQ/edit?usp=sharing"",""จัดที่ดิน!W21"")"),44)</f>
        <v>44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8" t="s">
        <v>46</v>
      </c>
      <c r="I359" s="270">
        <f ca="1">IFERROR(__xludf.DUMMYFUNCTION("IMPORTRANGE(""https://docs.google.com/spreadsheets/d/1QqKyyYR6Q21VydFLVH3TRQUabQu_ym0Zz7PgGX0-kHA/edit?usp=sharing"",""แผน!EO21"")"),1250)</f>
        <v>1250</v>
      </c>
      <c r="J359" s="270">
        <f ca="1">IFERROR(__xludf.DUMMYFUNCTION("IMPORTRANGE(""https://docs.google.com/spreadsheets/d/1XWAQStnk-4SwqDmLtmXYiTMKHgktTP8We1SCoS47DrQ/edit?usp=sharing"",""จัดที่ดิน!X21"")"),253.78)</f>
        <v>253.78</v>
      </c>
      <c r="K359" s="466">
        <f t="shared" ca="1" si="161"/>
        <v>20.302399999999999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1" t="s">
        <v>35</v>
      </c>
      <c r="I360" s="270">
        <f ca="1">IFERROR(__xludf.DUMMYFUNCTION("IMPORTRANGE(""https://docs.google.com/spreadsheets/d/1QqKyyYR6Q21VydFLVH3TRQUabQu_ym0Zz7PgGX0-kHA/edit?usp=sharing"",""แผน!EP21"")"),125)</f>
        <v>125</v>
      </c>
      <c r="J360" s="270">
        <f ca="1">IFERROR(__xludf.DUMMYFUNCTION("IMPORTRANGE(""https://docs.google.com/spreadsheets/d/1XWAQStnk-4SwqDmLtmXYiTMKHgktTP8We1SCoS47DrQ/edit?usp=sharing"",""จัดที่ดิน!Y21"")"),38)</f>
        <v>38</v>
      </c>
      <c r="K360" s="466">
        <f t="shared" ca="1" si="161"/>
        <v>30.4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IFERROR(__xludf.DUMMYFUNCTION("IMPORTRANGE(""https://docs.google.com/spreadsheets/d/1XWAQStnk-4SwqDmLtmXYiTMKHgktTP8We1SCoS47DrQ/edit?usp=sharing"",""จัดที่ดิน!Z21"")"),246.48)</f>
        <v>246.48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1" t="s">
        <v>35</v>
      </c>
      <c r="I362" s="270">
        <f ca="1">IFERROR(__xludf.DUMMYFUNCTION("IMPORTRANGE(""https://docs.google.com/spreadsheets/d/1QqKyyYR6Q21VydFLVH3TRQUabQu_ym0Zz7PgGX0-kHA/edit?usp=sharing"",""แผน!EP21"")"),125)</f>
        <v>125</v>
      </c>
      <c r="J362" s="270">
        <f ca="1">IFERROR(__xludf.DUMMYFUNCTION("IMPORTRANGE(""https://docs.google.com/spreadsheets/d/1XWAQStnk-4SwqDmLtmXYiTMKHgktTP8We1SCoS47DrQ/edit?usp=sharing"",""จัดที่ดิน!AA21"")"),6)</f>
        <v>6</v>
      </c>
      <c r="K362" s="466">
        <f t="shared" ca="1" si="161"/>
        <v>4.8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IFERROR(__xludf.DUMMYFUNCTION("IMPORTRANGE(""https://docs.google.com/spreadsheets/d/1XWAQStnk-4SwqDmLtmXYiTMKHgktTP8We1SCoS47DrQ/edit?usp=sharing"",""จัดที่ดิน!AB21"")"),41.89)</f>
        <v>41.89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425</v>
      </c>
      <c r="J364" s="447">
        <f t="shared" ca="1" si="162"/>
        <v>88</v>
      </c>
      <c r="K364" s="448">
        <f t="shared" ca="1" si="161"/>
        <v>20.705882352941178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IFERROR(__xludf.DUMMYFUNCTION("IMPORTRANGE(""https://docs.google.com/spreadsheets/d/1QqKyyYR6Q21VydFLVH3TRQUabQu_ym0Zz7PgGX0-kHA/edit?usp=sharing"",""แผน!EJ21"")"),5)</f>
        <v>5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16" t="s">
        <v>38</v>
      </c>
      <c r="E367" s="173"/>
      <c r="F367" s="173"/>
      <c r="G367" s="174"/>
      <c r="H367" s="729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8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IFERROR(__xludf.DUMMYFUNCTION("IMPORTRANGE(""https://docs.google.com/spreadsheets/d/1XWAQStnk-4SwqDmLtmXYiTMKHgktTP8We1SCoS47DrQ/edit?usp=sharing"",""จัดที่ดิน!E21"")"),6)</f>
        <v>6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8" t="s">
        <v>46</v>
      </c>
      <c r="I369" s="270">
        <f ca="1">IFERROR(__xludf.DUMMYFUNCTION("IMPORTRANGE(""https://docs.google.com/spreadsheets/d/1QqKyyYR6Q21VydFLVH3TRQUabQu_ym0Zz7PgGX0-kHA/edit?usp=sharing"",""แผน!EI21"")"),50)</f>
        <v>50</v>
      </c>
      <c r="J369" s="270">
        <f ca="1">IFERROR(__xludf.DUMMYFUNCTION("IMPORTRANGE(""https://docs.google.com/spreadsheets/d/1XWAQStnk-4SwqDmLtmXYiTMKHgktTP8We1SCoS47DrQ/edit?usp=sharing"",""จัดที่ดิน!F21"")"),7.3)</f>
        <v>7.3</v>
      </c>
      <c r="K369" s="466">
        <f t="shared" ca="1" si="163"/>
        <v>14.6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1" t="s">
        <v>35</v>
      </c>
      <c r="I370" s="270">
        <f ca="1">IFERROR(__xludf.DUMMYFUNCTION("IMPORTRANGE(""https://docs.google.com/spreadsheets/d/1QqKyyYR6Q21VydFLVH3TRQUabQu_ym0Zz7PgGX0-kHA/edit?usp=sharing"",""แผน!EJ21"")"),5)</f>
        <v>5</v>
      </c>
      <c r="J370" s="270">
        <f ca="1">IFERROR(__xludf.DUMMYFUNCTION("IMPORTRANGE(""https://docs.google.com/spreadsheets/d/1XWAQStnk-4SwqDmLtmXYiTMKHgktTP8We1SCoS47DrQ/edit?usp=sharing"",""จัดที่ดิน!G21"")"),0)</f>
        <v>0</v>
      </c>
      <c r="K370" s="466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IFERROR(__xludf.DUMMYFUNCTION("IMPORTRANGE(""https://docs.google.com/spreadsheets/d/1XWAQStnk-4SwqDmLtmXYiTMKHgktTP8We1SCoS47DrQ/edit?usp=sharing"",""จัดที่ดิน!H21"")"),0)</f>
        <v>0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1" t="s">
        <v>35</v>
      </c>
      <c r="I372" s="270">
        <f ca="1">IFERROR(__xludf.DUMMYFUNCTION("IMPORTRANGE(""https://docs.google.com/spreadsheets/d/1QqKyyYR6Q21VydFLVH3TRQUabQu_ym0Zz7PgGX0-kHA/edit?usp=sharing"",""แผน!EJ21"")"),5)</f>
        <v>5</v>
      </c>
      <c r="J372" s="270">
        <f ca="1">IFERROR(__xludf.DUMMYFUNCTION("IMPORTRANGE(""https://docs.google.com/spreadsheets/d/1XWAQStnk-4SwqDmLtmXYiTMKHgktTP8We1SCoS47DrQ/edit?usp=sharing"",""จัดที่ดิน!I21"")"),0)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IFERROR(__xludf.DUMMYFUNCTION("IMPORTRANGE(""https://docs.google.com/spreadsheets/d/1XWAQStnk-4SwqDmLtmXYiTMKHgktTP8We1SCoS47DrQ/edit?usp=sharing"",""จัดที่ดิน!J21"")"),0)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IFERROR(__xludf.DUMMYFUNCTION("IMPORTRANGE(""https://docs.google.com/spreadsheets/d/1QqKyyYR6Q21VydFLVH3TRQUabQu_ym0Zz7PgGX0-kHA/edit?usp=sharing"",""แผน!EU21"")"),420)</f>
        <v>420</v>
      </c>
      <c r="J374" s="459">
        <f ca="1">J381</f>
        <v>88</v>
      </c>
      <c r="K374" s="460">
        <f t="shared" ca="1" si="163"/>
        <v>20.952380952380953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16" t="s">
        <v>38</v>
      </c>
      <c r="E376" s="173"/>
      <c r="F376" s="173"/>
      <c r="G376" s="174"/>
      <c r="H376" s="729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8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IFERROR(__xludf.DUMMYFUNCTION("IMPORTRANGE(""https://docs.google.com/spreadsheets/d/1XWAQStnk-4SwqDmLtmXYiTMKHgktTP8We1SCoS47DrQ/edit?usp=sharing"",""จัดที่ดิน!AH21"")"),38)</f>
        <v>38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8" t="s">
        <v>46</v>
      </c>
      <c r="I378" s="270">
        <f ca="1">IFERROR(__xludf.DUMMYFUNCTION("IMPORTRANGE(""https://docs.google.com/spreadsheets/d/1QqKyyYR6Q21VydFLVH3TRQUabQu_ym0Zz7PgGX0-kHA/edit?usp=sharing"",""แผน!ET21"")"),1200)</f>
        <v>1200</v>
      </c>
      <c r="J378" s="270">
        <f ca="1">IFERROR(__xludf.DUMMYFUNCTION("IMPORTRANGE(""https://docs.google.com/spreadsheets/d/1XWAQStnk-4SwqDmLtmXYiTMKHgktTP8We1SCoS47DrQ/edit?usp=sharing"",""จัดที่ดิน!AI21"")"),246.48)</f>
        <v>246.48</v>
      </c>
      <c r="K378" s="466">
        <f t="shared" ca="1" si="164"/>
        <v>20.54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1" t="s">
        <v>35</v>
      </c>
      <c r="I379" s="270">
        <f ca="1">IFERROR(__xludf.DUMMYFUNCTION("IMPORTRANGE(""https://docs.google.com/spreadsheets/d/1QqKyyYR6Q21VydFLVH3TRQUabQu_ym0Zz7PgGX0-kHA/edit?usp=sharing"",""แผน!EU21"")"),420)</f>
        <v>420</v>
      </c>
      <c r="J379" s="270">
        <f ca="1">IFERROR(__xludf.DUMMYFUNCTION("IMPORTRANGE(""https://docs.google.com/spreadsheets/d/1XWAQStnk-4SwqDmLtmXYiTMKHgktTP8We1SCoS47DrQ/edit?usp=sharing"",""จัดที่ดิน!AJ21"")"),120)</f>
        <v>120</v>
      </c>
      <c r="K379" s="466">
        <f t="shared" ca="1" si="164"/>
        <v>28.571428571428573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IFERROR(__xludf.DUMMYFUNCTION("IMPORTRANGE(""https://docs.google.com/spreadsheets/d/1XWAQStnk-4SwqDmLtmXYiTMKHgktTP8We1SCoS47DrQ/edit?usp=sharing"",""จัดที่ดิน!AK21"")"),1589.04)</f>
        <v>1589.04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1" t="s">
        <v>35</v>
      </c>
      <c r="I381" s="270">
        <f ca="1">IFERROR(__xludf.DUMMYFUNCTION("IMPORTRANGE(""https://docs.google.com/spreadsheets/d/1QqKyyYR6Q21VydFLVH3TRQUabQu_ym0Zz7PgGX0-kHA/edit?usp=sharing"",""แผน!EU21"")"),420)</f>
        <v>420</v>
      </c>
      <c r="J381" s="270">
        <f ca="1">IFERROR(__xludf.DUMMYFUNCTION("IMPORTRANGE(""https://docs.google.com/spreadsheets/d/1XWAQStnk-4SwqDmLtmXYiTMKHgktTP8We1SCoS47DrQ/edit?usp=sharing"",""จัดที่ดิน!AL21"")"),88)</f>
        <v>88</v>
      </c>
      <c r="K381" s="466">
        <f t="shared" ca="1" si="164"/>
        <v>20.952380952380953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IFERROR(__xludf.DUMMYFUNCTION("IMPORTRANGE(""https://docs.google.com/spreadsheets/d/1XWAQStnk-4SwqDmLtmXYiTMKHgktTP8We1SCoS47DrQ/edit?usp=sharing"",""จัดที่ดิน!AM21"")"),1384.45)</f>
        <v>1384.45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2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16" t="s">
        <v>38</v>
      </c>
      <c r="E384" s="173"/>
      <c r="F384" s="173"/>
      <c r="G384" s="174"/>
      <c r="H384" s="729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IFERROR(__xludf.DUMMYFUNCTION("IMPORTRANGE(""https://docs.google.com/spreadsheets/d/1QqKyyYR6Q21VydFLVH3TRQUabQu_ym0Zz7PgGX0-kHA/edit?usp=sharing"",""แผน!EW21"")"),30)</f>
        <v>30</v>
      </c>
      <c r="J385" s="469">
        <f ca="1">IFERROR(__xludf.DUMMYFUNCTION("IMPORTRANGE(""https://docs.google.com/spreadsheets/d/1XWAQStnk-4SwqDmLtmXYiTMKHgktTP8We1SCoS47DrQ/edit?usp=sharing"",""จัดที่ดิน!AP21"")"),8)</f>
        <v>8</v>
      </c>
      <c r="K385" s="470">
        <f ca="1">IF(I385&gt;0,J385*100/I385,0)</f>
        <v>26.666666666666668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si="165">I400</f>
        <v>0</v>
      </c>
      <c r="J388" s="490">
        <f t="shared" si="165"/>
        <v>0</v>
      </c>
      <c r="K388" s="491">
        <f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845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4"/>
      <c r="J390" s="584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4"/>
      <c r="J391" s="584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79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IFERROR(__xludf.DUMMYFUNCTION("IMPORTRANGE(""https://docs.google.com/spreadsheets/d/1MeEWN-I1oV_STSDYn1IFDPWt_1FKiwhDph83XaGc0o0/edit?usp=sharing"",""งบพรบ!FG21"")"),0)</f>
        <v>0</v>
      </c>
      <c r="M394" s="93">
        <f ca="1">IFERROR(__xludf.DUMMYFUNCTION("IMPORTRANGE(""https://docs.google.com/spreadsheets/d/1MeEWN-I1oV_STSDYn1IFDPWt_1FKiwhDph83XaGc0o0/edit?usp=sharing"",""งบพรบ!FL21"")"),0)</f>
        <v>0</v>
      </c>
      <c r="N394" s="93">
        <f ca="1">IFERROR(__xludf.DUMMYFUNCTION("IMPORTRANGE(""https://docs.google.com/spreadsheets/d/1MeEWN-I1oV_STSDYn1IFDPWt_1FKiwhDph83XaGc0o0/edit?usp=sharing"",""งบพรบ!FN21"")"),0)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IFERROR(__xludf.DUMMYFUNCTION("IMPORTRANGE(""https://docs.google.com/spreadsheets/d/1MeEWN-I1oV_STSDYn1IFDPWt_1FKiwhDph83XaGc0o0/edit?usp=sharing"",""งบพรบ!FJ21"")"),0)</f>
        <v>0</v>
      </c>
      <c r="M397" s="93">
        <f ca="1">IFERROR(__xludf.DUMMYFUNCTION("IMPORTRANGE(""https://docs.google.com/spreadsheets/d/1MeEWN-I1oV_STSDYn1IFDPWt_1FKiwhDph83XaGc0o0/edit?usp=sharing"",""งบพรบ!FM21"")"),0)</f>
        <v>0</v>
      </c>
      <c r="N397" s="93">
        <f ca="1">IFERROR(__xludf.DUMMYFUNCTION("IMPORTRANGE(""https://docs.google.com/spreadsheets/d/1MeEWN-I1oV_STSDYn1IFDPWt_1FKiwhDph83XaGc0o0/edit?usp=sharing"",""งบพรบ!FO21"")"),0)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6" t="s">
        <v>38</v>
      </c>
      <c r="E398" s="173"/>
      <c r="F398" s="173"/>
      <c r="G398" s="174"/>
      <c r="H398" s="729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si="173">I412</f>
        <v>0</v>
      </c>
      <c r="J401" s="490">
        <f t="shared" si="173"/>
        <v>0</v>
      </c>
      <c r="K401" s="491">
        <f t="shared" si="17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845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4"/>
      <c r="J403" s="584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4"/>
      <c r="J404" s="584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79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IFERROR(__xludf.DUMMYFUNCTION("IMPORTRANGE(""https://docs.google.com/spreadsheets/d/1MeEWN-I1oV_STSDYn1IFDPWt_1FKiwhDph83XaGc0o0/edit?usp=sharing"",""งบพรบ!FQ21"")"),0)</f>
        <v>0</v>
      </c>
      <c r="M407" s="93">
        <f ca="1">IFERROR(__xludf.DUMMYFUNCTION("IMPORTRANGE(""https://docs.google.com/spreadsheets/d/1MeEWN-I1oV_STSDYn1IFDPWt_1FKiwhDph83XaGc0o0/edit?usp=sharing"",""งบพรบ!FV21"")"),0)</f>
        <v>0</v>
      </c>
      <c r="N407" s="93">
        <f ca="1">IFERROR(__xludf.DUMMYFUNCTION("IMPORTRANGE(""https://docs.google.com/spreadsheets/d/1MeEWN-I1oV_STSDYn1IFDPWt_1FKiwhDph83XaGc0o0/edit?usp=sharing"",""งบพรบ!FX21"")"),0)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IFERROR(__xludf.DUMMYFUNCTION("IMPORTRANGE(""https://docs.google.com/spreadsheets/d/1MeEWN-I1oV_STSDYn1IFDPWt_1FKiwhDph83XaGc0o0/edit?usp=sharing"",""งบพรบ!FT21"")"),0)</f>
        <v>0</v>
      </c>
      <c r="M410" s="93">
        <f ca="1">IFERROR(__xludf.DUMMYFUNCTION("IMPORTRANGE(""https://docs.google.com/spreadsheets/d/1MeEWN-I1oV_STSDYn1IFDPWt_1FKiwhDph83XaGc0o0/edit?usp=sharing"",""งบพรบ!FW21"")"),0)</f>
        <v>0</v>
      </c>
      <c r="N410" s="93">
        <f ca="1">IFERROR(__xludf.DUMMYFUNCTION("IMPORTRANGE(""https://docs.google.com/spreadsheets/d/1MeEWN-I1oV_STSDYn1IFDPWt_1FKiwhDph83XaGc0o0/edit?usp=sharing"",""งบพรบ!FY21"")"),0)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4" t="s">
        <v>38</v>
      </c>
      <c r="E411" s="499"/>
      <c r="F411" s="499"/>
      <c r="G411" s="500"/>
      <c r="H411" s="729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177</v>
      </c>
      <c r="E412" s="343"/>
      <c r="F412" s="343"/>
      <c r="G412" s="179"/>
      <c r="H412" s="501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v>0</v>
      </c>
      <c r="J413" s="508">
        <v>0</v>
      </c>
      <c r="K413" s="509">
        <f t="shared" si="180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181">L419+L444+L467+L502+L523+L544+L629+L655+L685+L737+L754+L770+L786+L805</f>
        <v>1590544</v>
      </c>
      <c r="M414" s="517">
        <f t="shared" si="181"/>
        <v>0</v>
      </c>
      <c r="N414" s="517">
        <f t="shared" si="181"/>
        <v>273726.02</v>
      </c>
      <c r="O414" s="517">
        <f ca="1">IF(L414&gt;0,N414*100/L414,0)</f>
        <v>17.209584896739731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9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8" ca="1" si="182">I433</f>
        <v>20</v>
      </c>
      <c r="J417" s="533">
        <f t="shared" ca="1" si="182"/>
        <v>20</v>
      </c>
      <c r="K417" s="534">
        <f t="shared" ref="K417:K418" ca="1" si="183">IF(I417&gt;0,J417*100/I417,0)</f>
        <v>100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ca="1" si="182"/>
        <v>1</v>
      </c>
      <c r="J418" s="533">
        <f t="shared" si="182"/>
        <v>1</v>
      </c>
      <c r="K418" s="534">
        <f t="shared" ca="1" si="183"/>
        <v>100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934" t="s">
        <v>17</v>
      </c>
      <c r="E419" s="928"/>
      <c r="F419" s="928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223" t="s">
        <v>184</v>
      </c>
      <c r="F420" s="40"/>
      <c r="G420" s="157"/>
      <c r="H420" s="165" t="s">
        <v>12</v>
      </c>
      <c r="I420" s="584"/>
      <c r="J420" s="584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223" t="s">
        <v>185</v>
      </c>
      <c r="F421" s="40"/>
      <c r="G421" s="157"/>
      <c r="H421" s="165" t="s">
        <v>12</v>
      </c>
      <c r="I421" s="584"/>
      <c r="J421" s="584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79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si="188"/>
        <v>0</v>
      </c>
      <c r="N422" s="466">
        <f t="shared" si="188"/>
        <v>0</v>
      </c>
      <c r="O422" s="466">
        <f t="shared" ca="1" si="185"/>
        <v>0</v>
      </c>
      <c r="P422" s="46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223" t="s">
        <v>184</v>
      </c>
      <c r="F423" s="40"/>
      <c r="G423" s="157"/>
      <c r="H423" s="165" t="s">
        <v>12</v>
      </c>
      <c r="I423" s="584"/>
      <c r="J423" s="584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223" t="s">
        <v>185</v>
      </c>
      <c r="F424" s="40"/>
      <c r="G424" s="157"/>
      <c r="H424" s="165" t="s">
        <v>12</v>
      </c>
      <c r="I424" s="584"/>
      <c r="J424" s="584"/>
      <c r="K424" s="93"/>
      <c r="L424" s="93">
        <f ca="1">IFERROR(__xludf.DUMMYFUNCTION("IMPORTRANGE(""https://docs.google.com/spreadsheets/d/1QqKyyYR6Q21VydFLVH3TRQUabQu_ym0Zz7PgGX0-kHA/edit?usp=sharing"",""แผน!EY21"")"),78660)</f>
        <v>78660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730"/>
      <c r="D425" s="730"/>
      <c r="E425" s="730"/>
      <c r="F425" s="730" t="s">
        <v>186</v>
      </c>
      <c r="G425" s="189"/>
      <c r="H425" s="779" t="s">
        <v>12</v>
      </c>
      <c r="I425" s="270"/>
      <c r="J425" s="270"/>
      <c r="K425" s="466"/>
      <c r="L425" s="466"/>
      <c r="M425" s="466"/>
      <c r="N425" s="801">
        <v>0</v>
      </c>
      <c r="O425" s="466"/>
      <c r="P425" s="466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730"/>
      <c r="D426" s="730"/>
      <c r="E426" s="730"/>
      <c r="F426" s="730" t="s">
        <v>187</v>
      </c>
      <c r="G426" s="189"/>
      <c r="H426" s="779" t="s">
        <v>12</v>
      </c>
      <c r="I426" s="270"/>
      <c r="J426" s="270"/>
      <c r="K426" s="466"/>
      <c r="L426" s="466"/>
      <c r="M426" s="466"/>
      <c r="N426" s="801">
        <v>0</v>
      </c>
      <c r="O426" s="466"/>
      <c r="P426" s="466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730"/>
      <c r="D427" s="730"/>
      <c r="E427" s="730"/>
      <c r="F427" s="730" t="s">
        <v>188</v>
      </c>
      <c r="G427" s="189"/>
      <c r="H427" s="779" t="s">
        <v>12</v>
      </c>
      <c r="I427" s="270"/>
      <c r="J427" s="270"/>
      <c r="K427" s="466"/>
      <c r="L427" s="466"/>
      <c r="M427" s="466"/>
      <c r="N427" s="801">
        <v>0</v>
      </c>
      <c r="O427" s="466"/>
      <c r="P427" s="466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779" t="s">
        <v>12</v>
      </c>
      <c r="I428" s="270"/>
      <c r="J428" s="270"/>
      <c r="K428" s="466"/>
      <c r="L428" s="466"/>
      <c r="M428" s="466"/>
      <c r="N428" s="801">
        <v>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6" t="s">
        <v>38</v>
      </c>
      <c r="E432" s="545"/>
      <c r="F432" s="545"/>
      <c r="G432" s="546"/>
      <c r="H432" s="547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3"/>
      <c r="F433" s="343"/>
      <c r="G433" s="179"/>
      <c r="H433" s="196" t="s">
        <v>35</v>
      </c>
      <c r="I433" s="648">
        <f ca="1">I435</f>
        <v>20</v>
      </c>
      <c r="J433" s="64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3"/>
      <c r="F434" s="343"/>
      <c r="G434" s="179"/>
      <c r="H434" s="196" t="s">
        <v>49</v>
      </c>
      <c r="I434" s="648">
        <f t="shared" ref="I434:J434" ca="1" si="193">I438+I440</f>
        <v>1</v>
      </c>
      <c r="J434" s="648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192</v>
      </c>
      <c r="E435" s="343"/>
      <c r="F435" s="343"/>
      <c r="G435" s="179"/>
      <c r="H435" s="590" t="s">
        <v>35</v>
      </c>
      <c r="I435" s="548">
        <f ca="1">IFERROR(__xludf.DUMMYFUNCTION("IMPORTRANGE(""https://docs.google.com/spreadsheets/d/1QqKyyYR6Q21VydFLVH3TRQUabQu_ym0Zz7PgGX0-kHA/edit?usp=sharing"",""แผน!FC21"")"),20)</f>
        <v>20</v>
      </c>
      <c r="J435" s="549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193</v>
      </c>
      <c r="E436" s="343"/>
      <c r="F436" s="343"/>
      <c r="G436" s="179"/>
      <c r="H436" s="590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194</v>
      </c>
      <c r="E437" s="343"/>
      <c r="F437" s="343"/>
      <c r="G437" s="179"/>
      <c r="H437" s="590" t="s">
        <v>35</v>
      </c>
      <c r="I437" s="548">
        <f ca="1">IFERROR(__xludf.DUMMYFUNCTION("IMPORTRANGE(""https://docs.google.com/spreadsheets/d/1QqKyyYR6Q21VydFLVH3TRQUabQu_ym0Zz7PgGX0-kHA/edit?usp=sharing"",""แผน!FD21"")"),0)</f>
        <v>0</v>
      </c>
      <c r="J437" s="549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195</v>
      </c>
      <c r="E438" s="343"/>
      <c r="F438" s="343"/>
      <c r="G438" s="179"/>
      <c r="H438" s="590" t="s">
        <v>49</v>
      </c>
      <c r="I438" s="270">
        <f ca="1">IFERROR(__xludf.DUMMYFUNCTION("IMPORTRANGE(""https://docs.google.com/spreadsheets/d/1QqKyyYR6Q21VydFLVH3TRQUabQu_ym0Zz7PgGX0-kHA/edit?usp=sharing"",""แผน!FE21"")"),0)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196</v>
      </c>
      <c r="E439" s="343"/>
      <c r="F439" s="343"/>
      <c r="G439" s="179"/>
      <c r="H439" s="590" t="s">
        <v>35</v>
      </c>
      <c r="I439" s="548">
        <f ca="1">IFERROR(__xludf.DUMMYFUNCTION("IMPORTRANGE(""https://docs.google.com/spreadsheets/d/1QqKyyYR6Q21VydFLVH3TRQUabQu_ym0Zz7PgGX0-kHA/edit?usp=sharing"",""แผน!FF21"")"),20)</f>
        <v>20</v>
      </c>
      <c r="J439" s="549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197</v>
      </c>
      <c r="E440" s="343"/>
      <c r="F440" s="343"/>
      <c r="G440" s="179"/>
      <c r="H440" s="590" t="s">
        <v>49</v>
      </c>
      <c r="I440" s="270">
        <f ca="1">IFERROR(__xludf.DUMMYFUNCTION("IMPORTRANGE(""https://docs.google.com/spreadsheets/d/1QqKyyYR6Q21VydFLVH3TRQUabQu_ym0Zz7PgGX0-kHA/edit?usp=sharing"",""แผน!FG21"")"),1)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198</v>
      </c>
      <c r="E441" s="343"/>
      <c r="F441" s="343"/>
      <c r="G441" s="179"/>
      <c r="H441" s="590" t="s">
        <v>35</v>
      </c>
      <c r="I441" s="270">
        <f ca="1">IFERROR(__xludf.DUMMYFUNCTION("IMPORTRANGE(""https://docs.google.com/spreadsheets/d/1QqKyyYR6Q21VydFLVH3TRQUabQu_ym0Zz7PgGX0-kHA/edit?usp=sharing"",""แผน!FH21"")"),0)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55</v>
      </c>
      <c r="J442" s="555">
        <f t="shared" si="195"/>
        <v>0</v>
      </c>
      <c r="K442" s="556">
        <f t="shared" ca="1" si="194"/>
        <v>0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196">I462</f>
        <v>110</v>
      </c>
      <c r="J443" s="533">
        <f t="shared" si="196"/>
        <v>0</v>
      </c>
      <c r="K443" s="534">
        <f t="shared" ca="1" si="194"/>
        <v>0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730"/>
      <c r="C444" s="730" t="s">
        <v>16</v>
      </c>
      <c r="D444" s="929" t="s">
        <v>17</v>
      </c>
      <c r="E444" s="923"/>
      <c r="F444" s="923"/>
      <c r="G444" s="189"/>
      <c r="H444" s="563" t="s">
        <v>12</v>
      </c>
      <c r="I444" s="270"/>
      <c r="J444" s="270"/>
      <c r="K444" s="466"/>
      <c r="L444" s="195">
        <f t="shared" ref="L444:N444" ca="1" si="197">L445+L446</f>
        <v>382500</v>
      </c>
      <c r="M444" s="195">
        <f t="shared" si="197"/>
        <v>0</v>
      </c>
      <c r="N444" s="195">
        <f t="shared" si="197"/>
        <v>38100.019999999997</v>
      </c>
      <c r="O444" s="195">
        <f t="shared" ref="O444:O449" ca="1" si="198">IF(L444&gt;0,N444*100/L444,0)</f>
        <v>9.9607895424836581</v>
      </c>
      <c r="P444" s="195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726"/>
      <c r="C445" s="726"/>
      <c r="D445" s="687"/>
      <c r="E445" s="726" t="s">
        <v>184</v>
      </c>
      <c r="F445" s="726"/>
      <c r="G445" s="568"/>
      <c r="H445" s="165" t="s">
        <v>12</v>
      </c>
      <c r="I445" s="584"/>
      <c r="J445" s="584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2"/>
      <c r="C446" s="726"/>
      <c r="D446" s="687"/>
      <c r="E446" s="726" t="s">
        <v>185</v>
      </c>
      <c r="F446" s="726"/>
      <c r="G446" s="568"/>
      <c r="H446" s="165" t="s">
        <v>12</v>
      </c>
      <c r="I446" s="584"/>
      <c r="J446" s="584"/>
      <c r="K446" s="93"/>
      <c r="L446" s="93">
        <f t="shared" ca="1" si="200"/>
        <v>382500</v>
      </c>
      <c r="M446" s="93">
        <f t="shared" si="200"/>
        <v>0</v>
      </c>
      <c r="N446" s="93">
        <f t="shared" si="200"/>
        <v>38100.019999999997</v>
      </c>
      <c r="O446" s="93">
        <f t="shared" ca="1" si="198"/>
        <v>9.9607895424836581</v>
      </c>
      <c r="P446" s="93">
        <f t="shared" si="199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730"/>
      <c r="D447" s="571" t="s">
        <v>20</v>
      </c>
      <c r="E447" s="730"/>
      <c r="F447" s="730"/>
      <c r="G447" s="189"/>
      <c r="H447" s="779" t="s">
        <v>12</v>
      </c>
      <c r="I447" s="184"/>
      <c r="J447" s="184"/>
      <c r="K447" s="163"/>
      <c r="L447" s="466">
        <f t="shared" ref="L447:N447" ca="1" si="201">L448+L449</f>
        <v>382500</v>
      </c>
      <c r="M447" s="466">
        <f t="shared" si="201"/>
        <v>0</v>
      </c>
      <c r="N447" s="466">
        <f t="shared" si="201"/>
        <v>38100.019999999997</v>
      </c>
      <c r="O447" s="466">
        <f t="shared" ca="1" si="198"/>
        <v>9.9607895424836581</v>
      </c>
      <c r="P447" s="466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2"/>
      <c r="C448" s="726"/>
      <c r="D448" s="687"/>
      <c r="E448" s="726" t="s">
        <v>184</v>
      </c>
      <c r="F448" s="726"/>
      <c r="G448" s="568"/>
      <c r="H448" s="165" t="s">
        <v>12</v>
      </c>
      <c r="I448" s="584"/>
      <c r="J448" s="584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2"/>
      <c r="C449" s="726"/>
      <c r="D449" s="687"/>
      <c r="E449" s="726" t="s">
        <v>185</v>
      </c>
      <c r="F449" s="726"/>
      <c r="G449" s="568"/>
      <c r="H449" s="165" t="s">
        <v>12</v>
      </c>
      <c r="I449" s="584"/>
      <c r="J449" s="584"/>
      <c r="K449" s="93"/>
      <c r="L449" s="93">
        <f ca="1">IFERROR(__xludf.DUMMYFUNCTION("IMPORTRANGE(""https://docs.google.com/spreadsheets/d/1QqKyyYR6Q21VydFLVH3TRQUabQu_ym0Zz7PgGX0-kHA/edit?usp=sharing"",""แผน!FJ21"")"),382500)</f>
        <v>382500</v>
      </c>
      <c r="M449" s="93">
        <v>0</v>
      </c>
      <c r="N449" s="93">
        <f>N450+N451+N452+N453</f>
        <v>38100.019999999997</v>
      </c>
      <c r="O449" s="93">
        <f t="shared" ca="1" si="198"/>
        <v>9.9607895424836581</v>
      </c>
      <c r="P449" s="93">
        <f t="shared" si="199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730"/>
      <c r="D450" s="730"/>
      <c r="E450" s="730"/>
      <c r="F450" s="730" t="s">
        <v>186</v>
      </c>
      <c r="G450" s="189"/>
      <c r="H450" s="779" t="s">
        <v>12</v>
      </c>
      <c r="I450" s="270"/>
      <c r="J450" s="270"/>
      <c r="K450" s="466"/>
      <c r="L450" s="466"/>
      <c r="M450" s="466"/>
      <c r="N450" s="801">
        <v>0</v>
      </c>
      <c r="O450" s="466"/>
      <c r="P450" s="466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730"/>
      <c r="D451" s="730"/>
      <c r="E451" s="730"/>
      <c r="F451" s="730" t="s">
        <v>187</v>
      </c>
      <c r="G451" s="189"/>
      <c r="H451" s="779" t="s">
        <v>12</v>
      </c>
      <c r="I451" s="270"/>
      <c r="J451" s="270"/>
      <c r="K451" s="466"/>
      <c r="L451" s="466"/>
      <c r="M451" s="466"/>
      <c r="N451" s="801">
        <v>0</v>
      </c>
      <c r="O451" s="466"/>
      <c r="P451" s="466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730" t="s">
        <v>188</v>
      </c>
      <c r="G452" s="189"/>
      <c r="H452" s="779" t="s">
        <v>12</v>
      </c>
      <c r="I452" s="270"/>
      <c r="J452" s="270"/>
      <c r="K452" s="466"/>
      <c r="L452" s="466"/>
      <c r="M452" s="466"/>
      <c r="N452" s="801">
        <v>38100.019999999997</v>
      </c>
      <c r="O452" s="466"/>
      <c r="P452" s="466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730" t="s">
        <v>189</v>
      </c>
      <c r="G453" s="189"/>
      <c r="H453" s="779" t="s">
        <v>12</v>
      </c>
      <c r="I453" s="270"/>
      <c r="J453" s="270"/>
      <c r="K453" s="466"/>
      <c r="L453" s="466"/>
      <c r="M453" s="466"/>
      <c r="N453" s="801">
        <v>0</v>
      </c>
      <c r="O453" s="466"/>
      <c r="P453" s="466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730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2"/>
      <c r="C455" s="572"/>
      <c r="D455" s="572"/>
      <c r="E455" s="572" t="s">
        <v>18</v>
      </c>
      <c r="F455" s="726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2"/>
      <c r="C456" s="572"/>
      <c r="D456" s="572"/>
      <c r="E456" s="572" t="s">
        <v>19</v>
      </c>
      <c r="F456" s="726"/>
      <c r="G456" s="56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85"/>
      <c r="C457" s="539" t="s">
        <v>16</v>
      </c>
      <c r="D457" s="847" t="s">
        <v>38</v>
      </c>
      <c r="E457" s="576"/>
      <c r="F457" s="728"/>
      <c r="G457" s="578"/>
      <c r="H457" s="729"/>
      <c r="I457" s="270"/>
      <c r="J457" s="270"/>
      <c r="K457" s="466"/>
      <c r="L457" s="466"/>
      <c r="M457" s="466"/>
      <c r="N457" s="466"/>
      <c r="O457" s="466"/>
      <c r="P457" s="466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1"/>
      <c r="C458" s="581"/>
      <c r="D458" s="581" t="s">
        <v>200</v>
      </c>
      <c r="E458" s="581"/>
      <c r="F458" s="687"/>
      <c r="G458" s="582"/>
      <c r="H458" s="583" t="s">
        <v>35</v>
      </c>
      <c r="I458" s="584">
        <v>0</v>
      </c>
      <c r="J458" s="584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1"/>
      <c r="C459" s="581"/>
      <c r="D459" s="581" t="s">
        <v>201</v>
      </c>
      <c r="E459" s="581"/>
      <c r="F459" s="687"/>
      <c r="G459" s="582"/>
      <c r="H459" s="583"/>
      <c r="I459" s="584"/>
      <c r="J459" s="584"/>
      <c r="K459" s="93"/>
      <c r="L459" s="93"/>
      <c r="M459" s="93"/>
      <c r="N459" s="93"/>
      <c r="O459" s="93"/>
      <c r="P459" s="93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85"/>
      <c r="C460" s="585"/>
      <c r="D460" s="585" t="s">
        <v>202</v>
      </c>
      <c r="E460" s="585"/>
      <c r="F460" s="593"/>
      <c r="G460" s="729"/>
      <c r="H460" s="731" t="s">
        <v>35</v>
      </c>
      <c r="I460" s="270">
        <f ca="1">IFERROR(__xludf.DUMMYFUNCTION("IMPORTRANGE(""https://docs.google.com/spreadsheets/d/1QqKyyYR6Q21VydFLVH3TRQUabQu_ym0Zz7PgGX0-kHA/edit?usp=sharing"",""แผน!FN21"")"),55)</f>
        <v>55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85"/>
      <c r="C461" s="585"/>
      <c r="D461" s="585" t="s">
        <v>203</v>
      </c>
      <c r="E461" s="593"/>
      <c r="F461" s="593"/>
      <c r="G461" s="729"/>
      <c r="H461" s="731"/>
      <c r="I461" s="270"/>
      <c r="J461" s="270"/>
      <c r="K461" s="466"/>
      <c r="L461" s="466"/>
      <c r="M461" s="466"/>
      <c r="N461" s="466"/>
      <c r="O461" s="466"/>
      <c r="P461" s="466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85"/>
      <c r="C462" s="585"/>
      <c r="D462" s="585" t="s">
        <v>204</v>
      </c>
      <c r="E462" s="593"/>
      <c r="F462" s="593"/>
      <c r="G462" s="729"/>
      <c r="H462" s="731" t="s">
        <v>46</v>
      </c>
      <c r="I462" s="270">
        <f ca="1">IFERROR(__xludf.DUMMYFUNCTION("IMPORTRANGE(""https://docs.google.com/spreadsheets/d/1QqKyyYR6Q21VydFLVH3TRQUabQu_ym0Zz7PgGX0-kHA/edit?usp=sharing"",""แผน!FO21"")"),110)</f>
        <v>110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85"/>
      <c r="C463" s="585"/>
      <c r="D463" s="585" t="s">
        <v>59</v>
      </c>
      <c r="E463" s="593"/>
      <c r="F463" s="730"/>
      <c r="G463" s="189"/>
      <c r="H463" s="731" t="s">
        <v>46</v>
      </c>
      <c r="I463" s="270">
        <f ca="1">IFERROR(__xludf.DUMMYFUNCTION("IMPORTRANGE(""https://docs.google.com/spreadsheets/d/1QqKyyYR6Q21VydFLVH3TRQUabQu_ym0Zz7PgGX0-kHA/edit?usp=sharing"",""แผน!FO21"")"),110)</f>
        <v>110</v>
      </c>
      <c r="J463" s="215">
        <v>0</v>
      </c>
      <c r="K463" s="466"/>
      <c r="L463" s="466"/>
      <c r="M463" s="466"/>
      <c r="N463" s="466"/>
      <c r="O463" s="466"/>
      <c r="P463" s="466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85"/>
      <c r="C464" s="585"/>
      <c r="D464" s="585"/>
      <c r="E464" s="593"/>
      <c r="F464" s="593"/>
      <c r="G464" s="587"/>
      <c r="H464" s="731" t="s">
        <v>35</v>
      </c>
      <c r="I464" s="270">
        <f ca="1">IFERROR(__xludf.DUMMYFUNCTION("IMPORTRANGE(""https://docs.google.com/spreadsheets/d/1QqKyyYR6Q21VydFLVH3TRQUabQu_ym0Zz7PgGX0-kHA/edit?usp=sharing"",""แผน!FN21"")"),55)</f>
        <v>55</v>
      </c>
      <c r="J464" s="215">
        <v>0</v>
      </c>
      <c r="K464" s="466"/>
      <c r="L464" s="466"/>
      <c r="M464" s="466"/>
      <c r="N464" s="466"/>
      <c r="O464" s="466"/>
      <c r="P464" s="466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IFERROR(__xludf.DUMMYFUNCTION("IMPORTRANGE(""https://docs.google.com/spreadsheets/d/1QqKyyYR6Q21VydFLVH3TRQUabQu_ym0Zz7PgGX0-kHA/edit?usp=sharing"",""แผน!FX21"")"),31)</f>
        <v>31</v>
      </c>
      <c r="J465" s="555">
        <f>J485+J489+J492</f>
        <v>31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IFERROR(__xludf.DUMMYFUNCTION("IMPORTRANGE(""https://docs.google.com/spreadsheets/d/1QqKyyYR6Q21VydFLVH3TRQUabQu_ym0Zz7PgGX0-kHA/edit?usp=sharing"",""แผน!FW21"")"),300)</f>
        <v>300</v>
      </c>
      <c r="J466" s="533">
        <f>J495+J498</f>
        <v>0</v>
      </c>
      <c r="K466" s="534">
        <f t="shared" ca="1" si="205"/>
        <v>0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730"/>
      <c r="C467" s="730" t="s">
        <v>16</v>
      </c>
      <c r="D467" s="929" t="s">
        <v>17</v>
      </c>
      <c r="E467" s="923"/>
      <c r="F467" s="923"/>
      <c r="G467" s="189"/>
      <c r="H467" s="563" t="s">
        <v>12</v>
      </c>
      <c r="I467" s="270"/>
      <c r="J467" s="270"/>
      <c r="K467" s="466"/>
      <c r="L467" s="195">
        <f t="shared" ref="L467:N467" ca="1" si="206">L468+L469</f>
        <v>256863</v>
      </c>
      <c r="M467" s="195">
        <f t="shared" si="206"/>
        <v>0</v>
      </c>
      <c r="N467" s="195">
        <f t="shared" si="206"/>
        <v>55246</v>
      </c>
      <c r="O467" s="195">
        <f t="shared" ref="O467:O472" ca="1" si="207">IF(L467&gt;0,N467*100/L467,0)</f>
        <v>21.507963389043965</v>
      </c>
      <c r="P467" s="195">
        <f t="shared" ref="P467:P472" si="208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726"/>
      <c r="C468" s="726"/>
      <c r="D468" s="687"/>
      <c r="E468" s="726" t="s">
        <v>184</v>
      </c>
      <c r="F468" s="726"/>
      <c r="G468" s="568"/>
      <c r="H468" s="165" t="s">
        <v>12</v>
      </c>
      <c r="I468" s="584"/>
      <c r="J468" s="584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2"/>
      <c r="C469" s="726"/>
      <c r="D469" s="687"/>
      <c r="E469" s="726" t="s">
        <v>185</v>
      </c>
      <c r="F469" s="726"/>
      <c r="G469" s="568"/>
      <c r="H469" s="165" t="s">
        <v>12</v>
      </c>
      <c r="I469" s="584"/>
      <c r="J469" s="584"/>
      <c r="K469" s="93"/>
      <c r="L469" s="93">
        <f t="shared" ca="1" si="209"/>
        <v>256863</v>
      </c>
      <c r="M469" s="93">
        <f t="shared" si="209"/>
        <v>0</v>
      </c>
      <c r="N469" s="93">
        <f t="shared" si="209"/>
        <v>55246</v>
      </c>
      <c r="O469" s="93">
        <f t="shared" ca="1" si="207"/>
        <v>21.507963389043965</v>
      </c>
      <c r="P469" s="93">
        <f t="shared" si="208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730"/>
      <c r="D470" s="571" t="s">
        <v>20</v>
      </c>
      <c r="E470" s="730"/>
      <c r="F470" s="730"/>
      <c r="G470" s="189"/>
      <c r="H470" s="779" t="s">
        <v>12</v>
      </c>
      <c r="I470" s="184"/>
      <c r="J470" s="184"/>
      <c r="K470" s="163"/>
      <c r="L470" s="466">
        <f t="shared" ref="L470:N470" ca="1" si="210">L471+L472</f>
        <v>256863</v>
      </c>
      <c r="M470" s="466">
        <f t="shared" si="210"/>
        <v>0</v>
      </c>
      <c r="N470" s="466">
        <f t="shared" si="210"/>
        <v>55246</v>
      </c>
      <c r="O470" s="466">
        <f t="shared" ca="1" si="207"/>
        <v>21.507963389043965</v>
      </c>
      <c r="P470" s="466">
        <f t="shared" si="208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2"/>
      <c r="C471" s="726"/>
      <c r="D471" s="687"/>
      <c r="E471" s="726" t="s">
        <v>184</v>
      </c>
      <c r="F471" s="726"/>
      <c r="G471" s="568"/>
      <c r="H471" s="165" t="s">
        <v>12</v>
      </c>
      <c r="I471" s="584"/>
      <c r="J471" s="584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2"/>
      <c r="C472" s="726"/>
      <c r="D472" s="687"/>
      <c r="E472" s="726" t="s">
        <v>185</v>
      </c>
      <c r="F472" s="726"/>
      <c r="G472" s="568"/>
      <c r="H472" s="165" t="s">
        <v>12</v>
      </c>
      <c r="I472" s="584"/>
      <c r="J472" s="584"/>
      <c r="K472" s="93"/>
      <c r="L472" s="93">
        <f ca="1">IFERROR(__xludf.DUMMYFUNCTION("IMPORTRANGE(""https://docs.google.com/spreadsheets/d/1QqKyyYR6Q21VydFLVH3TRQUabQu_ym0Zz7PgGX0-kHA/edit?usp=sharing"",""แผน!FS21"")"),256863)</f>
        <v>256863</v>
      </c>
      <c r="M472" s="93">
        <v>0</v>
      </c>
      <c r="N472" s="93">
        <f>N473+N474+N475+N476</f>
        <v>55246</v>
      </c>
      <c r="O472" s="93">
        <f t="shared" ca="1" si="207"/>
        <v>21.507963389043965</v>
      </c>
      <c r="P472" s="93">
        <f t="shared" si="208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730"/>
      <c r="D473" s="730"/>
      <c r="E473" s="730"/>
      <c r="F473" s="730" t="s">
        <v>186</v>
      </c>
      <c r="G473" s="189"/>
      <c r="H473" s="779" t="s">
        <v>12</v>
      </c>
      <c r="I473" s="270"/>
      <c r="J473" s="270"/>
      <c r="K473" s="466"/>
      <c r="L473" s="466"/>
      <c r="M473" s="466"/>
      <c r="N473" s="801">
        <v>36753</v>
      </c>
      <c r="O473" s="466"/>
      <c r="P473" s="466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730"/>
      <c r="D474" s="730"/>
      <c r="E474" s="730"/>
      <c r="F474" s="730" t="s">
        <v>187</v>
      </c>
      <c r="G474" s="189"/>
      <c r="H474" s="779" t="s">
        <v>12</v>
      </c>
      <c r="I474" s="270"/>
      <c r="J474" s="270"/>
      <c r="K474" s="466"/>
      <c r="L474" s="466"/>
      <c r="M474" s="466"/>
      <c r="N474" s="801">
        <v>0</v>
      </c>
      <c r="O474" s="466"/>
      <c r="P474" s="466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730" t="s">
        <v>188</v>
      </c>
      <c r="G475" s="189"/>
      <c r="H475" s="779" t="s">
        <v>12</v>
      </c>
      <c r="I475" s="270"/>
      <c r="J475" s="270"/>
      <c r="K475" s="466"/>
      <c r="L475" s="466"/>
      <c r="M475" s="466"/>
      <c r="N475" s="801">
        <v>0</v>
      </c>
      <c r="O475" s="466"/>
      <c r="P475" s="466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730" t="s">
        <v>189</v>
      </c>
      <c r="G476" s="189"/>
      <c r="H476" s="779" t="s">
        <v>12</v>
      </c>
      <c r="I476" s="270"/>
      <c r="J476" s="270"/>
      <c r="K476" s="466"/>
      <c r="L476" s="466"/>
      <c r="M476" s="466"/>
      <c r="N476" s="801">
        <v>18493</v>
      </c>
      <c r="O476" s="466"/>
      <c r="P476" s="466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2"/>
      <c r="C478" s="572"/>
      <c r="D478" s="572"/>
      <c r="E478" s="572" t="s">
        <v>18</v>
      </c>
      <c r="F478" s="572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2"/>
      <c r="C479" s="572"/>
      <c r="D479" s="572"/>
      <c r="E479" s="572" t="s">
        <v>19</v>
      </c>
      <c r="F479" s="572"/>
      <c r="G479" s="56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85"/>
      <c r="C480" s="539" t="s">
        <v>16</v>
      </c>
      <c r="D480" s="848" t="s">
        <v>38</v>
      </c>
      <c r="E480" s="576"/>
      <c r="F480" s="728"/>
      <c r="G480" s="578"/>
      <c r="H480" s="729"/>
      <c r="I480" s="270"/>
      <c r="J480" s="270"/>
      <c r="K480" s="466"/>
      <c r="L480" s="466"/>
      <c r="M480" s="466"/>
      <c r="N480" s="466"/>
      <c r="O480" s="466"/>
      <c r="P480" s="466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85"/>
      <c r="C481" s="585"/>
      <c r="D481" s="592" t="s">
        <v>206</v>
      </c>
      <c r="E481" s="585"/>
      <c r="F481" s="585"/>
      <c r="G481" s="729"/>
      <c r="H481" s="189"/>
      <c r="I481" s="270"/>
      <c r="J481" s="270"/>
      <c r="K481" s="466"/>
      <c r="L481" s="466"/>
      <c r="M481" s="466"/>
      <c r="N481" s="466"/>
      <c r="O481" s="466"/>
      <c r="P481" s="466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85"/>
      <c r="C482" s="585"/>
      <c r="D482" s="585"/>
      <c r="E482" s="585" t="s">
        <v>207</v>
      </c>
      <c r="F482" s="585"/>
      <c r="G482" s="729"/>
      <c r="H482" s="189"/>
      <c r="I482" s="270"/>
      <c r="J482" s="270"/>
      <c r="K482" s="466"/>
      <c r="L482" s="466"/>
      <c r="M482" s="466"/>
      <c r="N482" s="466"/>
      <c r="O482" s="466"/>
      <c r="P482" s="466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85"/>
      <c r="C483" s="585"/>
      <c r="D483" s="585"/>
      <c r="E483" s="585"/>
      <c r="F483" s="585" t="s">
        <v>208</v>
      </c>
      <c r="G483" s="729"/>
      <c r="H483" s="590" t="s">
        <v>46</v>
      </c>
      <c r="I483" s="270">
        <f ca="1">IFERROR(__xludf.DUMMYFUNCTION("IMPORTRANGE(""https://docs.google.com/spreadsheets/d/1QqKyyYR6Q21VydFLVH3TRQUabQu_ym0Zz7PgGX0-kHA/edit?usp=sharing"",""แผน!FY21"")"),270)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85"/>
      <c r="C484" s="585"/>
      <c r="D484" s="585"/>
      <c r="E484" s="585"/>
      <c r="F484" s="585" t="s">
        <v>209</v>
      </c>
      <c r="G484" s="729"/>
      <c r="H484" s="590" t="s">
        <v>35</v>
      </c>
      <c r="I484" s="270"/>
      <c r="J484" s="215">
        <v>27</v>
      </c>
      <c r="K484" s="466"/>
      <c r="L484" s="466"/>
      <c r="M484" s="466"/>
      <c r="N484" s="466"/>
      <c r="O484" s="466"/>
      <c r="P484" s="466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85"/>
      <c r="C485" s="585"/>
      <c r="D485" s="585"/>
      <c r="E485" s="585"/>
      <c r="F485" s="585" t="s">
        <v>210</v>
      </c>
      <c r="G485" s="729"/>
      <c r="H485" s="590" t="s">
        <v>35</v>
      </c>
      <c r="I485" s="270">
        <f ca="1">IFERROR(__xludf.DUMMYFUNCTION("IMPORTRANGE(""https://docs.google.com/spreadsheets/d/1QqKyyYR6Q21VydFLVH3TRQUabQu_ym0Zz7PgGX0-kHA/edit?usp=sharing"",""แผน!FZ21"")"),27)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85"/>
      <c r="C486" s="585"/>
      <c r="D486" s="585"/>
      <c r="E486" s="585" t="s">
        <v>62</v>
      </c>
      <c r="F486" s="585"/>
      <c r="G486" s="729"/>
      <c r="H486" s="590"/>
      <c r="I486" s="270"/>
      <c r="J486" s="270"/>
      <c r="K486" s="466"/>
      <c r="L486" s="466"/>
      <c r="M486" s="466"/>
      <c r="N486" s="466"/>
      <c r="O486" s="466"/>
      <c r="P486" s="466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85"/>
      <c r="C487" s="585"/>
      <c r="D487" s="585"/>
      <c r="E487" s="585"/>
      <c r="F487" s="585" t="s">
        <v>208</v>
      </c>
      <c r="G487" s="729"/>
      <c r="H487" s="590" t="s">
        <v>46</v>
      </c>
      <c r="I487" s="270">
        <f ca="1">IFERROR(__xludf.DUMMYFUNCTION("IMPORTRANGE(""https://docs.google.com/spreadsheets/d/1QqKyyYR6Q21VydFLVH3TRQUabQu_ym0Zz7PgGX0-kHA/edit?usp=sharing"",""แผน!GA21"")"),30)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85"/>
      <c r="C488" s="585"/>
      <c r="D488" s="585"/>
      <c r="E488" s="585"/>
      <c r="F488" s="585" t="s">
        <v>211</v>
      </c>
      <c r="G488" s="729"/>
      <c r="H488" s="590" t="s">
        <v>35</v>
      </c>
      <c r="I488" s="270"/>
      <c r="J488" s="215">
        <v>3</v>
      </c>
      <c r="K488" s="466"/>
      <c r="L488" s="466"/>
      <c r="M488" s="466"/>
      <c r="N488" s="466"/>
      <c r="O488" s="466"/>
      <c r="P488" s="466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85"/>
      <c r="C489" s="585"/>
      <c r="D489" s="585"/>
      <c r="E489" s="585"/>
      <c r="F489" s="585" t="s">
        <v>212</v>
      </c>
      <c r="G489" s="729"/>
      <c r="H489" s="590" t="s">
        <v>35</v>
      </c>
      <c r="I489" s="270">
        <f ca="1">IFERROR(__xludf.DUMMYFUNCTION("IMPORTRANGE(""https://docs.google.com/spreadsheets/d/1QqKyyYR6Q21VydFLVH3TRQUabQu_ym0Zz7PgGX0-kHA/edit?usp=sharing"",""แผน!GB21"")"),3)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85"/>
      <c r="C490" s="585"/>
      <c r="D490" s="585"/>
      <c r="E490" s="585" t="s">
        <v>63</v>
      </c>
      <c r="F490" s="593"/>
      <c r="G490" s="729"/>
      <c r="H490" s="590"/>
      <c r="I490" s="270"/>
      <c r="J490" s="270"/>
      <c r="K490" s="466"/>
      <c r="L490" s="466"/>
      <c r="M490" s="466"/>
      <c r="N490" s="466"/>
      <c r="O490" s="466"/>
      <c r="P490" s="466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85"/>
      <c r="C491" s="585"/>
      <c r="D491" s="585"/>
      <c r="E491" s="585"/>
      <c r="F491" s="585" t="s">
        <v>213</v>
      </c>
      <c r="G491" s="729"/>
      <c r="H491" s="590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85"/>
      <c r="C492" s="585"/>
      <c r="D492" s="585"/>
      <c r="E492" s="585"/>
      <c r="F492" s="585" t="s">
        <v>214</v>
      </c>
      <c r="G492" s="729"/>
      <c r="H492" s="590" t="s">
        <v>35</v>
      </c>
      <c r="I492" s="270">
        <f ca="1">IFERROR(__xludf.DUMMYFUNCTION("IMPORTRANGE(""https://docs.google.com/spreadsheets/d/1QqKyyYR6Q21VydFLVH3TRQUabQu_ym0Zz7PgGX0-kHA/edit?usp=sharing"",""แผน!GC21"")"),1)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85"/>
      <c r="C493" s="585"/>
      <c r="D493" s="592" t="s">
        <v>59</v>
      </c>
      <c r="E493" s="585"/>
      <c r="F493" s="593"/>
      <c r="G493" s="729"/>
      <c r="H493" s="189"/>
      <c r="I493" s="270"/>
      <c r="J493" s="270"/>
      <c r="K493" s="466"/>
      <c r="L493" s="466"/>
      <c r="M493" s="466"/>
      <c r="N493" s="466"/>
      <c r="O493" s="466"/>
      <c r="P493" s="466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85"/>
      <c r="C494" s="585"/>
      <c r="D494" s="585"/>
      <c r="E494" s="585" t="s">
        <v>207</v>
      </c>
      <c r="F494" s="593"/>
      <c r="G494" s="729"/>
      <c r="H494" s="189"/>
      <c r="I494" s="270"/>
      <c r="J494" s="270"/>
      <c r="K494" s="466"/>
      <c r="L494" s="466"/>
      <c r="M494" s="466"/>
      <c r="N494" s="466"/>
      <c r="O494" s="466"/>
      <c r="P494" s="466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85"/>
      <c r="C495" s="585"/>
      <c r="D495" s="585"/>
      <c r="E495" s="585"/>
      <c r="F495" s="593" t="s">
        <v>215</v>
      </c>
      <c r="G495" s="729"/>
      <c r="H495" s="590" t="s">
        <v>46</v>
      </c>
      <c r="I495" s="270">
        <f ca="1">IFERROR(__xludf.DUMMYFUNCTION("IMPORTRANGE(""https://docs.google.com/spreadsheets/d/1QqKyyYR6Q21VydFLVH3TRQUabQu_ym0Zz7PgGX0-kHA/edit?usp=sharing"",""แผน!FY21"")"),270)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85"/>
      <c r="C496" s="585"/>
      <c r="D496" s="585"/>
      <c r="E496" s="585"/>
      <c r="F496" s="593" t="s">
        <v>216</v>
      </c>
      <c r="G496" s="729"/>
      <c r="H496" s="590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85"/>
      <c r="C497" s="585"/>
      <c r="D497" s="585"/>
      <c r="E497" s="585" t="s">
        <v>62</v>
      </c>
      <c r="F497" s="593"/>
      <c r="G497" s="729"/>
      <c r="H497" s="189"/>
      <c r="I497" s="270"/>
      <c r="J497" s="270"/>
      <c r="K497" s="466"/>
      <c r="L497" s="466"/>
      <c r="M497" s="466"/>
      <c r="N497" s="466"/>
      <c r="O497" s="466"/>
      <c r="P497" s="466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85"/>
      <c r="C498" s="585"/>
      <c r="D498" s="585"/>
      <c r="E498" s="593"/>
      <c r="F498" s="593" t="s">
        <v>217</v>
      </c>
      <c r="G498" s="729"/>
      <c r="H498" s="590" t="s">
        <v>46</v>
      </c>
      <c r="I498" s="270">
        <f ca="1">IFERROR(__xludf.DUMMYFUNCTION("IMPORTRANGE(""https://docs.google.com/spreadsheets/d/1QqKyyYR6Q21VydFLVH3TRQUabQu_ym0Zz7PgGX0-kHA/edit?usp=sharing"",""แผน!GA21"")"),30)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85"/>
      <c r="C499" s="585"/>
      <c r="D499" s="585"/>
      <c r="E499" s="593"/>
      <c r="F499" s="593" t="s">
        <v>218</v>
      </c>
      <c r="G499" s="729"/>
      <c r="H499" s="590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14">J516</f>
        <v>0</v>
      </c>
      <c r="K500" s="601">
        <f t="shared" ref="K500:K501" si="215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5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14"/>
        <v>0</v>
      </c>
      <c r="K501" s="610">
        <f t="shared" si="215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726"/>
      <c r="C502" s="726" t="s">
        <v>16</v>
      </c>
      <c r="D502" s="930" t="s">
        <v>17</v>
      </c>
      <c r="E502" s="923"/>
      <c r="F502" s="923"/>
      <c r="G502" s="568"/>
      <c r="H502" s="613" t="s">
        <v>12</v>
      </c>
      <c r="I502" s="584"/>
      <c r="J502" s="584"/>
      <c r="K502" s="93"/>
      <c r="L502" s="614">
        <f t="shared" ref="L502:N502" si="216">L503+L504</f>
        <v>0</v>
      </c>
      <c r="M502" s="614">
        <f t="shared" si="216"/>
        <v>0</v>
      </c>
      <c r="N502" s="614">
        <f t="shared" si="216"/>
        <v>0</v>
      </c>
      <c r="O502" s="614">
        <f t="shared" ref="O502:O507" si="217">IF(L502&gt;0,N502*100/L502,0)</f>
        <v>0</v>
      </c>
      <c r="P502" s="614">
        <f t="shared" ref="P502:P507" si="218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726"/>
      <c r="C503" s="726"/>
      <c r="D503" s="687"/>
      <c r="E503" s="726" t="s">
        <v>184</v>
      </c>
      <c r="F503" s="726"/>
      <c r="G503" s="568"/>
      <c r="H503" s="165" t="s">
        <v>12</v>
      </c>
      <c r="I503" s="584"/>
      <c r="J503" s="584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2"/>
      <c r="C504" s="726"/>
      <c r="D504" s="687"/>
      <c r="E504" s="726" t="s">
        <v>185</v>
      </c>
      <c r="F504" s="726"/>
      <c r="G504" s="568"/>
      <c r="H504" s="165" t="s">
        <v>12</v>
      </c>
      <c r="I504" s="584"/>
      <c r="J504" s="584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2"/>
      <c r="C505" s="726"/>
      <c r="D505" s="853" t="s">
        <v>20</v>
      </c>
      <c r="E505" s="726"/>
      <c r="F505" s="726"/>
      <c r="G505" s="56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2"/>
      <c r="C506" s="726"/>
      <c r="D506" s="687"/>
      <c r="E506" s="726" t="s">
        <v>184</v>
      </c>
      <c r="F506" s="726"/>
      <c r="G506" s="568"/>
      <c r="H506" s="165" t="s">
        <v>12</v>
      </c>
      <c r="I506" s="584"/>
      <c r="J506" s="584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2"/>
      <c r="C507" s="726"/>
      <c r="D507" s="687"/>
      <c r="E507" s="726" t="s">
        <v>185</v>
      </c>
      <c r="F507" s="726"/>
      <c r="G507" s="568"/>
      <c r="H507" s="165" t="s">
        <v>12</v>
      </c>
      <c r="I507" s="584"/>
      <c r="J507" s="584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6"/>
      <c r="B508" s="572"/>
      <c r="C508" s="726"/>
      <c r="D508" s="726"/>
      <c r="E508" s="726"/>
      <c r="F508" s="726" t="s">
        <v>186</v>
      </c>
      <c r="G508" s="568"/>
      <c r="H508" s="165" t="s">
        <v>12</v>
      </c>
      <c r="I508" s="584"/>
      <c r="J508" s="584"/>
      <c r="K508" s="93"/>
      <c r="L508" s="93"/>
      <c r="M508" s="93"/>
      <c r="N508" s="93">
        <v>0</v>
      </c>
      <c r="O508" s="93"/>
      <c r="P508" s="93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6"/>
      <c r="B509" s="572"/>
      <c r="C509" s="726"/>
      <c r="D509" s="726"/>
      <c r="E509" s="726"/>
      <c r="F509" s="726" t="s">
        <v>187</v>
      </c>
      <c r="G509" s="568"/>
      <c r="H509" s="165" t="s">
        <v>12</v>
      </c>
      <c r="I509" s="584"/>
      <c r="J509" s="584"/>
      <c r="K509" s="93"/>
      <c r="L509" s="93"/>
      <c r="M509" s="93"/>
      <c r="N509" s="93">
        <v>0</v>
      </c>
      <c r="O509" s="93"/>
      <c r="P509" s="93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6"/>
      <c r="B510" s="572"/>
      <c r="C510" s="572"/>
      <c r="D510" s="572"/>
      <c r="E510" s="726"/>
      <c r="F510" s="726" t="s">
        <v>188</v>
      </c>
      <c r="G510" s="568"/>
      <c r="H510" s="165" t="s">
        <v>12</v>
      </c>
      <c r="I510" s="584"/>
      <c r="J510" s="584"/>
      <c r="K510" s="93"/>
      <c r="L510" s="93"/>
      <c r="M510" s="93"/>
      <c r="N510" s="93">
        <v>0</v>
      </c>
      <c r="O510" s="93"/>
      <c r="P510" s="93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6"/>
      <c r="B511" s="572"/>
      <c r="C511" s="572"/>
      <c r="D511" s="572"/>
      <c r="E511" s="726"/>
      <c r="F511" s="726" t="s">
        <v>189</v>
      </c>
      <c r="G511" s="568"/>
      <c r="H511" s="165" t="s">
        <v>12</v>
      </c>
      <c r="I511" s="584"/>
      <c r="J511" s="584"/>
      <c r="K511" s="93"/>
      <c r="L511" s="93"/>
      <c r="M511" s="93"/>
      <c r="N511" s="93">
        <v>0</v>
      </c>
      <c r="O511" s="93"/>
      <c r="P511" s="93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2"/>
      <c r="C512" s="572"/>
      <c r="D512" s="853" t="s">
        <v>21</v>
      </c>
      <c r="E512" s="572"/>
      <c r="F512" s="726"/>
      <c r="G512" s="56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2"/>
      <c r="C513" s="572"/>
      <c r="D513" s="572"/>
      <c r="E513" s="572" t="s">
        <v>18</v>
      </c>
      <c r="F513" s="726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2"/>
      <c r="C514" s="572"/>
      <c r="D514" s="726"/>
      <c r="E514" s="572" t="s">
        <v>19</v>
      </c>
      <c r="F514" s="726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1"/>
      <c r="C515" s="572" t="s">
        <v>16</v>
      </c>
      <c r="D515" s="849" t="s">
        <v>38</v>
      </c>
      <c r="E515" s="618"/>
      <c r="F515" s="618"/>
      <c r="G515" s="619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1"/>
      <c r="C516" s="581"/>
      <c r="D516" s="581" t="s">
        <v>221</v>
      </c>
      <c r="E516" s="687"/>
      <c r="F516" s="687"/>
      <c r="G516" s="582"/>
      <c r="H516" s="620" t="s">
        <v>109</v>
      </c>
      <c r="I516" s="584"/>
      <c r="J516" s="584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1"/>
      <c r="C517" s="581"/>
      <c r="D517" s="581" t="s">
        <v>222</v>
      </c>
      <c r="E517" s="687"/>
      <c r="F517" s="687"/>
      <c r="G517" s="582"/>
      <c r="H517" s="621" t="s">
        <v>35</v>
      </c>
      <c r="I517" s="622"/>
      <c r="J517" s="622">
        <f>J518+J519</f>
        <v>0</v>
      </c>
      <c r="K517" s="623">
        <f t="shared" si="224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1"/>
      <c r="C518" s="581"/>
      <c r="D518" s="581"/>
      <c r="E518" s="581" t="s">
        <v>223</v>
      </c>
      <c r="F518" s="687"/>
      <c r="G518" s="582"/>
      <c r="H518" s="583" t="s">
        <v>35</v>
      </c>
      <c r="I518" s="584"/>
      <c r="J518" s="58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1"/>
      <c r="C519" s="581"/>
      <c r="D519" s="581"/>
      <c r="E519" s="581" t="s">
        <v>224</v>
      </c>
      <c r="F519" s="687"/>
      <c r="G519" s="582"/>
      <c r="H519" s="620" t="s">
        <v>35</v>
      </c>
      <c r="I519" s="584"/>
      <c r="J519" s="58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 hidden="1">
      <c r="A521" s="631">
        <v>5</v>
      </c>
      <c r="B521" s="632" t="s">
        <v>225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 hidden="1">
      <c r="A522" s="638"/>
      <c r="B522" s="639" t="s">
        <v>226</v>
      </c>
      <c r="C522" s="640"/>
      <c r="D522" s="640"/>
      <c r="E522" s="640"/>
      <c r="F522" s="640"/>
      <c r="G522" s="641"/>
      <c r="H522" s="642" t="s">
        <v>35</v>
      </c>
      <c r="I522" s="675">
        <f t="shared" ref="I522:J522" ca="1" si="225">I537</f>
        <v>0</v>
      </c>
      <c r="J522" s="675">
        <f t="shared" ca="1" si="225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 hidden="1">
      <c r="A523" s="562"/>
      <c r="B523" s="730"/>
      <c r="C523" s="730" t="s">
        <v>16</v>
      </c>
      <c r="D523" s="929" t="s">
        <v>17</v>
      </c>
      <c r="E523" s="923"/>
      <c r="F523" s="923"/>
      <c r="G523" s="189"/>
      <c r="H523" s="563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726"/>
      <c r="C524" s="726"/>
      <c r="D524" s="687"/>
      <c r="E524" s="726" t="s">
        <v>184</v>
      </c>
      <c r="F524" s="726"/>
      <c r="G524" s="568"/>
      <c r="H524" s="165" t="s">
        <v>12</v>
      </c>
      <c r="I524" s="584"/>
      <c r="J524" s="584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2"/>
      <c r="C525" s="726"/>
      <c r="D525" s="687"/>
      <c r="E525" s="726" t="s">
        <v>185</v>
      </c>
      <c r="F525" s="726"/>
      <c r="G525" s="568"/>
      <c r="H525" s="165" t="s">
        <v>12</v>
      </c>
      <c r="I525" s="584"/>
      <c r="J525" s="584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 hidden="1">
      <c r="A526" s="562"/>
      <c r="B526" s="539"/>
      <c r="C526" s="730"/>
      <c r="D526" s="571" t="s">
        <v>20</v>
      </c>
      <c r="E526" s="730"/>
      <c r="F526" s="730"/>
      <c r="G526" s="189"/>
      <c r="H526" s="779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2"/>
      <c r="C527" s="726"/>
      <c r="D527" s="687"/>
      <c r="E527" s="726" t="s">
        <v>184</v>
      </c>
      <c r="F527" s="726"/>
      <c r="G527" s="568"/>
      <c r="H527" s="165" t="s">
        <v>12</v>
      </c>
      <c r="I527" s="584"/>
      <c r="J527" s="584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2"/>
      <c r="C528" s="726"/>
      <c r="D528" s="687"/>
      <c r="E528" s="726" t="s">
        <v>185</v>
      </c>
      <c r="F528" s="726"/>
      <c r="G528" s="568"/>
      <c r="H528" s="165" t="s">
        <v>12</v>
      </c>
      <c r="I528" s="584"/>
      <c r="J528" s="584"/>
      <c r="K528" s="93"/>
      <c r="L528" s="93">
        <f ca="1">IFERROR(__xludf.DUMMYFUNCTION("IMPORTRANGE(""https://docs.google.com/spreadsheets/d/1QqKyyYR6Q21VydFLVH3TRQUabQu_ym0Zz7PgGX0-kHA/edit?usp=sharing"",""แผน!GQ21"")"),0)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 hidden="1">
      <c r="A529" s="538"/>
      <c r="B529" s="539"/>
      <c r="C529" s="730"/>
      <c r="D529" s="730"/>
      <c r="E529" s="730"/>
      <c r="F529" s="730" t="s">
        <v>186</v>
      </c>
      <c r="G529" s="189"/>
      <c r="H529" s="779" t="s">
        <v>12</v>
      </c>
      <c r="I529" s="270"/>
      <c r="J529" s="270"/>
      <c r="K529" s="466"/>
      <c r="L529" s="466"/>
      <c r="M529" s="466"/>
      <c r="N529" s="801">
        <v>0</v>
      </c>
      <c r="O529" s="466"/>
      <c r="P529" s="466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 hidden="1">
      <c r="A530" s="538"/>
      <c r="B530" s="539"/>
      <c r="C530" s="730"/>
      <c r="D530" s="730"/>
      <c r="E530" s="730"/>
      <c r="F530" s="730" t="s">
        <v>187</v>
      </c>
      <c r="G530" s="189"/>
      <c r="H530" s="779" t="s">
        <v>12</v>
      </c>
      <c r="I530" s="270"/>
      <c r="J530" s="270"/>
      <c r="K530" s="466"/>
      <c r="L530" s="466"/>
      <c r="M530" s="466"/>
      <c r="N530" s="801">
        <v>0</v>
      </c>
      <c r="O530" s="466"/>
      <c r="P530" s="466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 hidden="1">
      <c r="A531" s="538"/>
      <c r="B531" s="539"/>
      <c r="C531" s="730"/>
      <c r="D531" s="730"/>
      <c r="E531" s="730"/>
      <c r="F531" s="730" t="s">
        <v>188</v>
      </c>
      <c r="G531" s="189"/>
      <c r="H531" s="779" t="s">
        <v>12</v>
      </c>
      <c r="I531" s="270"/>
      <c r="J531" s="270"/>
      <c r="K531" s="466"/>
      <c r="L531" s="466"/>
      <c r="M531" s="466"/>
      <c r="N531" s="801">
        <v>0</v>
      </c>
      <c r="O531" s="466"/>
      <c r="P531" s="466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 hidden="1">
      <c r="A532" s="538"/>
      <c r="B532" s="539"/>
      <c r="C532" s="730"/>
      <c r="D532" s="730"/>
      <c r="E532" s="730"/>
      <c r="F532" s="730" t="s">
        <v>189</v>
      </c>
      <c r="G532" s="189"/>
      <c r="H532" s="779" t="s">
        <v>12</v>
      </c>
      <c r="I532" s="270"/>
      <c r="J532" s="270"/>
      <c r="K532" s="466"/>
      <c r="L532" s="466"/>
      <c r="M532" s="466"/>
      <c r="N532" s="801">
        <v>0</v>
      </c>
      <c r="O532" s="466"/>
      <c r="P532" s="466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 hidden="1">
      <c r="A533" s="562"/>
      <c r="B533" s="539"/>
      <c r="C533" s="730"/>
      <c r="D533" s="571" t="s">
        <v>21</v>
      </c>
      <c r="E533" s="730"/>
      <c r="F533" s="730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2"/>
      <c r="C534" s="726"/>
      <c r="D534" s="726"/>
      <c r="E534" s="726" t="s">
        <v>18</v>
      </c>
      <c r="F534" s="726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2"/>
      <c r="C535" s="726"/>
      <c r="D535" s="726"/>
      <c r="E535" s="726" t="s">
        <v>19</v>
      </c>
      <c r="F535" s="726"/>
      <c r="G535" s="56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 hidden="1">
      <c r="A536" s="573"/>
      <c r="B536" s="585"/>
      <c r="C536" s="730" t="s">
        <v>16</v>
      </c>
      <c r="D536" s="850" t="s">
        <v>38</v>
      </c>
      <c r="E536" s="728"/>
      <c r="F536" s="728"/>
      <c r="G536" s="578"/>
      <c r="H536" s="729"/>
      <c r="I536" s="184"/>
      <c r="J536" s="184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 hidden="1">
      <c r="A537" s="538"/>
      <c r="B537" s="539"/>
      <c r="C537" s="730"/>
      <c r="D537" s="730" t="s">
        <v>227</v>
      </c>
      <c r="E537" s="730"/>
      <c r="F537" s="730"/>
      <c r="G537" s="189"/>
      <c r="H537" s="590" t="s">
        <v>35</v>
      </c>
      <c r="I537" s="648">
        <f ca="1">IFERROR(__xludf.DUMMYFUNCTION("IMPORTRANGE(""https://docs.google.com/spreadsheets/d/1QqKyyYR6Q21VydFLVH3TRQUabQu_ym0Zz7PgGX0-kHA/edit?usp=sharing"",""แผน!GU21"")"),0)</f>
        <v>0</v>
      </c>
      <c r="J537" s="648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 hidden="1">
      <c r="A538" s="538"/>
      <c r="B538" s="539"/>
      <c r="C538" s="730"/>
      <c r="D538" s="730"/>
      <c r="E538" s="730" t="s">
        <v>228</v>
      </c>
      <c r="F538" s="730"/>
      <c r="G538" s="189"/>
      <c r="H538" s="590" t="s">
        <v>35</v>
      </c>
      <c r="I538" s="270">
        <f ca="1">IFERROR(__xludf.DUMMYFUNCTION("IMPORTRANGE(""https://docs.google.com/spreadsheets/d/1QqKyyYR6Q21VydFLVH3TRQUabQu_ym0Zz7PgGX0-kHA/edit?usp=sharing"",""แผน!GV21"")"),0)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 hidden="1">
      <c r="A539" s="538"/>
      <c r="B539" s="539"/>
      <c r="C539" s="730"/>
      <c r="D539" s="730"/>
      <c r="E539" s="730" t="s">
        <v>229</v>
      </c>
      <c r="F539" s="730"/>
      <c r="G539" s="189"/>
      <c r="H539" s="590" t="s">
        <v>35</v>
      </c>
      <c r="I539" s="270">
        <f ca="1">IFERROR(__xludf.DUMMYFUNCTION("IMPORTRANGE(""https://docs.google.com/spreadsheets/d/1QqKyyYR6Q21VydFLVH3TRQUabQu_ym0Zz7PgGX0-kHA/edit?usp=sharing"",""แผน!GW21"")"),0)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 hidden="1">
      <c r="A540" s="538"/>
      <c r="B540" s="539"/>
      <c r="C540" s="730"/>
      <c r="D540" s="730"/>
      <c r="E540" s="730" t="s">
        <v>230</v>
      </c>
      <c r="F540" s="730"/>
      <c r="G540" s="189"/>
      <c r="H540" s="590" t="s">
        <v>35</v>
      </c>
      <c r="I540" s="270">
        <f ca="1">IFERROR(__xludf.DUMMYFUNCTION("IMPORTRANGE(""https://docs.google.com/spreadsheets/d/1QqKyyYR6Q21VydFLVH3TRQUabQu_ym0Zz7PgGX0-kHA/edit?usp=sharing"",""แผน!GX21"")"),0)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 hidden="1">
      <c r="A541" s="538"/>
      <c r="B541" s="539"/>
      <c r="C541" s="730"/>
      <c r="D541" s="730"/>
      <c r="E541" s="736" t="s">
        <v>231</v>
      </c>
      <c r="F541" s="730"/>
      <c r="G541" s="189"/>
      <c r="H541" s="590" t="s">
        <v>35</v>
      </c>
      <c r="I541" s="270">
        <f ca="1">IFERROR(__xludf.DUMMYFUNCTION("IMPORTRANGE(""https://docs.google.com/spreadsheets/d/1QqKyyYR6Q21VydFLVH3TRQUabQu_ym0Zz7PgGX0-kHA/edit?usp=sharing"",""แผน!GY21"")"),0)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 hidden="1">
      <c r="A542" s="538"/>
      <c r="B542" s="539"/>
      <c r="C542" s="730"/>
      <c r="D542" s="730" t="s">
        <v>59</v>
      </c>
      <c r="E542" s="730"/>
      <c r="F542" s="730"/>
      <c r="G542" s="189"/>
      <c r="H542" s="590" t="s">
        <v>35</v>
      </c>
      <c r="I542" s="270">
        <f ca="1">IFERROR(__xludf.DUMMYFUNCTION("IMPORTRANGE(""https://docs.google.com/spreadsheets/d/1QqKyyYR6Q21VydFLVH3TRQUabQu_ym0Zz7PgGX0-kHA/edit?usp=sharing"",""แผน!GZ21"")"),0)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232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35">I559</f>
        <v>2373</v>
      </c>
      <c r="J543" s="654">
        <f t="shared" si="235"/>
        <v>0</v>
      </c>
      <c r="K543" s="655">
        <f t="shared" ca="1" si="234"/>
        <v>0</v>
      </c>
      <c r="L543" s="637"/>
      <c r="M543" s="637"/>
      <c r="N543" s="637"/>
      <c r="O543" s="637"/>
      <c r="P543" s="637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6"/>
      <c r="B544" s="657"/>
      <c r="C544" s="657" t="s">
        <v>16</v>
      </c>
      <c r="D544" s="933" t="s">
        <v>17</v>
      </c>
      <c r="E544" s="928"/>
      <c r="F544" s="928"/>
      <c r="G544" s="658"/>
      <c r="H544" s="275" t="s">
        <v>12</v>
      </c>
      <c r="I544" s="389"/>
      <c r="J544" s="389"/>
      <c r="K544" s="154"/>
      <c r="L544" s="155">
        <f t="shared" ref="L544:N544" ca="1" si="236">L545+L546</f>
        <v>365626</v>
      </c>
      <c r="M544" s="155">
        <f t="shared" si="236"/>
        <v>0</v>
      </c>
      <c r="N544" s="155">
        <f t="shared" si="236"/>
        <v>67345</v>
      </c>
      <c r="O544" s="155">
        <f t="shared" ref="O544:O549" ca="1" si="237">IF(L544&gt;0,N544*100/L544,0)</f>
        <v>18.419094922133546</v>
      </c>
      <c r="P544" s="155">
        <f t="shared" ref="P544:P549" si="238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726"/>
      <c r="C545" s="726"/>
      <c r="D545" s="726"/>
      <c r="E545" s="726" t="s">
        <v>184</v>
      </c>
      <c r="F545" s="726"/>
      <c r="G545" s="568"/>
      <c r="H545" s="165" t="s">
        <v>12</v>
      </c>
      <c r="I545" s="584"/>
      <c r="J545" s="584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2"/>
      <c r="C546" s="726"/>
      <c r="D546" s="726"/>
      <c r="E546" s="726" t="s">
        <v>185</v>
      </c>
      <c r="F546" s="726"/>
      <c r="G546" s="568"/>
      <c r="H546" s="165" t="s">
        <v>12</v>
      </c>
      <c r="I546" s="584"/>
      <c r="J546" s="584"/>
      <c r="K546" s="93"/>
      <c r="L546" s="93">
        <f t="shared" ca="1" si="239"/>
        <v>365626</v>
      </c>
      <c r="M546" s="93">
        <f t="shared" si="240"/>
        <v>0</v>
      </c>
      <c r="N546" s="93">
        <f t="shared" si="240"/>
        <v>67345</v>
      </c>
      <c r="O546" s="93">
        <f t="shared" ca="1" si="237"/>
        <v>18.419094922133546</v>
      </c>
      <c r="P546" s="93">
        <f t="shared" si="238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730"/>
      <c r="D547" s="571" t="s">
        <v>20</v>
      </c>
      <c r="E547" s="730"/>
      <c r="F547" s="730"/>
      <c r="G547" s="189"/>
      <c r="H547" s="779" t="s">
        <v>12</v>
      </c>
      <c r="I547" s="184"/>
      <c r="J547" s="184"/>
      <c r="K547" s="163"/>
      <c r="L547" s="466">
        <f t="shared" ref="L547:N547" ca="1" si="241">L548+L549</f>
        <v>365626</v>
      </c>
      <c r="M547" s="466">
        <f t="shared" si="241"/>
        <v>0</v>
      </c>
      <c r="N547" s="466">
        <f t="shared" si="241"/>
        <v>67345</v>
      </c>
      <c r="O547" s="466">
        <f t="shared" ca="1" si="237"/>
        <v>18.419094922133546</v>
      </c>
      <c r="P547" s="466">
        <f t="shared" si="238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2"/>
      <c r="C548" s="726"/>
      <c r="D548" s="687"/>
      <c r="E548" s="726" t="s">
        <v>184</v>
      </c>
      <c r="F548" s="726"/>
      <c r="G548" s="568"/>
      <c r="H548" s="165" t="s">
        <v>12</v>
      </c>
      <c r="I548" s="584"/>
      <c r="J548" s="584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2"/>
      <c r="C549" s="726"/>
      <c r="D549" s="687"/>
      <c r="E549" s="726" t="s">
        <v>185</v>
      </c>
      <c r="F549" s="726"/>
      <c r="G549" s="568"/>
      <c r="H549" s="165" t="s">
        <v>12</v>
      </c>
      <c r="I549" s="584"/>
      <c r="J549" s="584"/>
      <c r="K549" s="93"/>
      <c r="L549" s="93">
        <f ca="1">IFERROR(__xludf.DUMMYFUNCTION("IMPORTRANGE(""https://docs.google.com/spreadsheets/d/1QqKyyYR6Q21VydFLVH3TRQUabQu_ym0Zz7PgGX0-kHA/edit?usp=sharing"",""แผน!HB21"")"),365626)</f>
        <v>365626</v>
      </c>
      <c r="M549" s="93">
        <v>0</v>
      </c>
      <c r="N549" s="93">
        <f>N550+N551+N552+N553+N554</f>
        <v>67345</v>
      </c>
      <c r="O549" s="93">
        <f t="shared" ca="1" si="237"/>
        <v>18.419094922133546</v>
      </c>
      <c r="P549" s="93">
        <f t="shared" si="238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730"/>
      <c r="D550" s="730"/>
      <c r="E550" s="730"/>
      <c r="F550" s="730" t="s">
        <v>186</v>
      </c>
      <c r="G550" s="189"/>
      <c r="H550" s="779" t="s">
        <v>12</v>
      </c>
      <c r="I550" s="270"/>
      <c r="J550" s="270"/>
      <c r="K550" s="466"/>
      <c r="L550" s="466"/>
      <c r="M550" s="466"/>
      <c r="N550" s="801">
        <v>0</v>
      </c>
      <c r="O550" s="466"/>
      <c r="P550" s="466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730"/>
      <c r="F551" s="730" t="s">
        <v>187</v>
      </c>
      <c r="G551" s="189"/>
      <c r="H551" s="779" t="s">
        <v>12</v>
      </c>
      <c r="I551" s="270"/>
      <c r="J551" s="270"/>
      <c r="K551" s="466"/>
      <c r="L551" s="466"/>
      <c r="M551" s="466"/>
      <c r="N551" s="801">
        <v>0</v>
      </c>
      <c r="O551" s="466"/>
      <c r="P551" s="466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730"/>
      <c r="D552" s="730"/>
      <c r="E552" s="730"/>
      <c r="F552" s="730" t="s">
        <v>188</v>
      </c>
      <c r="G552" s="189"/>
      <c r="H552" s="779" t="s">
        <v>12</v>
      </c>
      <c r="I552" s="270"/>
      <c r="J552" s="270"/>
      <c r="K552" s="466"/>
      <c r="L552" s="466"/>
      <c r="M552" s="466"/>
      <c r="N552" s="801">
        <v>0</v>
      </c>
      <c r="O552" s="466"/>
      <c r="P552" s="466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730"/>
      <c r="F553" s="730" t="s">
        <v>189</v>
      </c>
      <c r="G553" s="189"/>
      <c r="H553" s="779" t="s">
        <v>12</v>
      </c>
      <c r="I553" s="270"/>
      <c r="J553" s="270"/>
      <c r="K553" s="466"/>
      <c r="L553" s="466"/>
      <c r="M553" s="466"/>
      <c r="N553" s="801">
        <v>67345</v>
      </c>
      <c r="O553" s="466"/>
      <c r="P553" s="466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730"/>
      <c r="F554" s="730" t="s">
        <v>233</v>
      </c>
      <c r="G554" s="189"/>
      <c r="H554" s="779" t="s">
        <v>12</v>
      </c>
      <c r="I554" s="270"/>
      <c r="J554" s="270"/>
      <c r="K554" s="466"/>
      <c r="L554" s="466"/>
      <c r="M554" s="466"/>
      <c r="N554" s="801">
        <v>0</v>
      </c>
      <c r="O554" s="466"/>
      <c r="P554" s="466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730"/>
      <c r="F555" s="730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2"/>
      <c r="C556" s="572"/>
      <c r="D556" s="726"/>
      <c r="E556" s="726" t="s">
        <v>18</v>
      </c>
      <c r="F556" s="726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2"/>
      <c r="C557" s="572"/>
      <c r="D557" s="726"/>
      <c r="E557" s="726" t="s">
        <v>19</v>
      </c>
      <c r="F557" s="726"/>
      <c r="G557" s="56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85"/>
      <c r="C558" s="539" t="s">
        <v>16</v>
      </c>
      <c r="D558" s="850" t="s">
        <v>38</v>
      </c>
      <c r="E558" s="728"/>
      <c r="F558" s="728"/>
      <c r="G558" s="578"/>
      <c r="H558" s="729"/>
      <c r="I558" s="184"/>
      <c r="J558" s="184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9"/>
      <c r="B559" s="660" t="s">
        <v>234</v>
      </c>
      <c r="C559" s="661"/>
      <c r="D559" s="661"/>
      <c r="E559" s="640"/>
      <c r="F559" s="640"/>
      <c r="G559" s="641"/>
      <c r="H559" s="662" t="s">
        <v>46</v>
      </c>
      <c r="I559" s="675">
        <f t="shared" ref="I559:J559" ca="1" si="245">I576</f>
        <v>2373</v>
      </c>
      <c r="J559" s="675">
        <f t="shared" si="245"/>
        <v>0</v>
      </c>
      <c r="K559" s="644">
        <f t="shared" ref="K559:K561" ca="1" si="246">IF(I559&gt;0,J559*100/I559,0)</f>
        <v>0</v>
      </c>
      <c r="L559" s="645"/>
      <c r="M559" s="645"/>
      <c r="N559" s="645"/>
      <c r="O559" s="645"/>
      <c r="P559" s="645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85"/>
      <c r="C560" s="592" t="s">
        <v>235</v>
      </c>
      <c r="D560" s="585"/>
      <c r="E560" s="593"/>
      <c r="F560" s="593"/>
      <c r="G560" s="729"/>
      <c r="H560" s="734" t="s">
        <v>46</v>
      </c>
      <c r="I560" s="193">
        <f ca="1">IFERROR(__xludf.DUMMYFUNCTION("IMPORTRANGE(""https://docs.google.com/spreadsheets/d/1QqKyyYR6Q21VydFLVH3TRQUabQu_ym0Zz7PgGX0-kHA/edit?usp=sharing"",""แผน!HH21"")"),2373)</f>
        <v>2373</v>
      </c>
      <c r="J560" s="193">
        <f t="shared" ref="J560:J561" si="247">J562+J564+J566</f>
        <v>2373</v>
      </c>
      <c r="K560" s="380">
        <f t="shared" ca="1" si="246"/>
        <v>100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85"/>
      <c r="C561" s="585"/>
      <c r="D561" s="593"/>
      <c r="E561" s="593"/>
      <c r="F561" s="593"/>
      <c r="G561" s="729"/>
      <c r="H561" s="734" t="s">
        <v>34</v>
      </c>
      <c r="I561" s="193">
        <f ca="1">IFERROR(__xludf.DUMMYFUNCTION("IMPORTRANGE(""https://docs.google.com/spreadsheets/d/1QqKyyYR6Q21VydFLVH3TRQUabQu_ym0Zz7PgGX0-kHA/edit?usp=sharing"",""แผน!HG21"")"),118)</f>
        <v>118</v>
      </c>
      <c r="J561" s="193">
        <f t="shared" si="247"/>
        <v>118</v>
      </c>
      <c r="K561" s="380">
        <f t="shared" ca="1" si="246"/>
        <v>100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85"/>
      <c r="C562" s="585"/>
      <c r="D562" s="593" t="s">
        <v>236</v>
      </c>
      <c r="E562" s="593"/>
      <c r="F562" s="593"/>
      <c r="G562" s="729"/>
      <c r="H562" s="731" t="s">
        <v>46</v>
      </c>
      <c r="I562" s="184"/>
      <c r="J562" s="215">
        <v>1870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85"/>
      <c r="C563" s="585"/>
      <c r="D563" s="585"/>
      <c r="E563" s="593"/>
      <c r="F563" s="593"/>
      <c r="G563" s="729"/>
      <c r="H563" s="731" t="s">
        <v>34</v>
      </c>
      <c r="I563" s="184"/>
      <c r="J563" s="215">
        <v>97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85"/>
      <c r="C564" s="585"/>
      <c r="D564" s="593" t="s">
        <v>237</v>
      </c>
      <c r="E564" s="593"/>
      <c r="F564" s="593"/>
      <c r="G564" s="729"/>
      <c r="H564" s="731" t="s">
        <v>46</v>
      </c>
      <c r="I564" s="184"/>
      <c r="J564" s="215">
        <v>418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85"/>
      <c r="C565" s="585"/>
      <c r="D565" s="593"/>
      <c r="E565" s="593"/>
      <c r="F565" s="593"/>
      <c r="G565" s="729"/>
      <c r="H565" s="731" t="s">
        <v>34</v>
      </c>
      <c r="I565" s="184"/>
      <c r="J565" s="215">
        <v>17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85"/>
      <c r="C566" s="585"/>
      <c r="D566" s="593" t="s">
        <v>238</v>
      </c>
      <c r="E566" s="593"/>
      <c r="F566" s="593"/>
      <c r="G566" s="729"/>
      <c r="H566" s="731" t="s">
        <v>46</v>
      </c>
      <c r="I566" s="184"/>
      <c r="J566" s="215">
        <v>85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85"/>
      <c r="C567" s="585"/>
      <c r="D567" s="593"/>
      <c r="E567" s="593"/>
      <c r="F567" s="593"/>
      <c r="G567" s="729"/>
      <c r="H567" s="731" t="s">
        <v>34</v>
      </c>
      <c r="I567" s="184"/>
      <c r="J567" s="215">
        <v>4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85"/>
      <c r="C568" s="592" t="s">
        <v>239</v>
      </c>
      <c r="D568" s="593"/>
      <c r="E568" s="593"/>
      <c r="F568" s="593"/>
      <c r="G568" s="729"/>
      <c r="H568" s="734" t="s">
        <v>46</v>
      </c>
      <c r="I568" s="193">
        <f ca="1">IFERROR(__xludf.DUMMYFUNCTION("IMPORTRANGE(""https://docs.google.com/spreadsheets/d/1QqKyyYR6Q21VydFLVH3TRQUabQu_ym0Zz7PgGX0-kHA/edit?usp=sharing"",""แผน!HH21"")"),2373)</f>
        <v>2373</v>
      </c>
      <c r="J568" s="648">
        <f t="shared" ref="J568:J569" si="248">J570+J572+J574</f>
        <v>2373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85"/>
      <c r="C569" s="585"/>
      <c r="D569" s="585"/>
      <c r="E569" s="593"/>
      <c r="F569" s="593"/>
      <c r="G569" s="729"/>
      <c r="H569" s="734" t="s">
        <v>34</v>
      </c>
      <c r="I569" s="193">
        <f ca="1">IFERROR(__xludf.DUMMYFUNCTION("IMPORTRANGE(""https://docs.google.com/spreadsheets/d/1QqKyyYR6Q21VydFLVH3TRQUabQu_ym0Zz7PgGX0-kHA/edit?usp=sharing"",""แผน!HG21"")"),118)</f>
        <v>118</v>
      </c>
      <c r="J569" s="648">
        <f t="shared" si="248"/>
        <v>118</v>
      </c>
      <c r="K569" s="380">
        <f t="shared" ca="1" si="249"/>
        <v>100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85"/>
      <c r="C570" s="585"/>
      <c r="D570" s="593" t="s">
        <v>240</v>
      </c>
      <c r="E570" s="585"/>
      <c r="F570" s="593"/>
      <c r="G570" s="729"/>
      <c r="H570" s="731" t="s">
        <v>46</v>
      </c>
      <c r="I570" s="184"/>
      <c r="J570" s="215">
        <v>1870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85"/>
      <c r="C571" s="585"/>
      <c r="D571" s="585"/>
      <c r="E571" s="593"/>
      <c r="F571" s="593"/>
      <c r="G571" s="729"/>
      <c r="H571" s="731" t="s">
        <v>34</v>
      </c>
      <c r="I571" s="184"/>
      <c r="J571" s="215">
        <v>97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85"/>
      <c r="C572" s="585"/>
      <c r="D572" s="593" t="s">
        <v>241</v>
      </c>
      <c r="E572" s="593"/>
      <c r="F572" s="593"/>
      <c r="G572" s="729"/>
      <c r="H572" s="731" t="s">
        <v>46</v>
      </c>
      <c r="I572" s="184"/>
      <c r="J572" s="215">
        <v>418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85"/>
      <c r="C573" s="585"/>
      <c r="D573" s="593"/>
      <c r="E573" s="593"/>
      <c r="F573" s="593"/>
      <c r="G573" s="729"/>
      <c r="H573" s="731" t="s">
        <v>34</v>
      </c>
      <c r="I573" s="184"/>
      <c r="J573" s="215">
        <v>17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85"/>
      <c r="C574" s="585"/>
      <c r="D574" s="593" t="s">
        <v>242</v>
      </c>
      <c r="E574" s="593"/>
      <c r="F574" s="593"/>
      <c r="G574" s="729"/>
      <c r="H574" s="731" t="s">
        <v>46</v>
      </c>
      <c r="I574" s="184"/>
      <c r="J574" s="215">
        <v>85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85"/>
      <c r="C575" s="585"/>
      <c r="D575" s="585"/>
      <c r="E575" s="593"/>
      <c r="F575" s="593"/>
      <c r="G575" s="729"/>
      <c r="H575" s="731" t="s">
        <v>34</v>
      </c>
      <c r="I575" s="184"/>
      <c r="J575" s="215">
        <v>4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85"/>
      <c r="C576" s="592" t="s">
        <v>243</v>
      </c>
      <c r="D576" s="585"/>
      <c r="E576" s="585"/>
      <c r="F576" s="593"/>
      <c r="G576" s="729"/>
      <c r="H576" s="734" t="s">
        <v>46</v>
      </c>
      <c r="I576" s="193">
        <f ca="1">IFERROR(__xludf.DUMMYFUNCTION("IMPORTRANGE(""https://docs.google.com/spreadsheets/d/1QqKyyYR6Q21VydFLVH3TRQUabQu_ym0Zz7PgGX0-kHA/edit?usp=sharing"",""แผน!HH21"")"),2373)</f>
        <v>2373</v>
      </c>
      <c r="J576" s="648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85"/>
      <c r="C577" s="585"/>
      <c r="D577" s="585"/>
      <c r="E577" s="593"/>
      <c r="F577" s="593"/>
      <c r="G577" s="729"/>
      <c r="H577" s="734" t="s">
        <v>34</v>
      </c>
      <c r="I577" s="193">
        <f ca="1">IFERROR(__xludf.DUMMYFUNCTION("IMPORTRANGE(""https://docs.google.com/spreadsheets/d/1QqKyyYR6Q21VydFLVH3TRQUabQu_ym0Zz7PgGX0-kHA/edit?usp=sharing"",""แผน!HG21"")"),118)</f>
        <v>118</v>
      </c>
      <c r="J577" s="648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85"/>
      <c r="C578" s="585"/>
      <c r="D578" s="593" t="s">
        <v>244</v>
      </c>
      <c r="E578" s="593"/>
      <c r="F578" s="593"/>
      <c r="G578" s="729"/>
      <c r="H578" s="73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85"/>
      <c r="C579" s="585"/>
      <c r="D579" s="585"/>
      <c r="E579" s="593"/>
      <c r="F579" s="593"/>
      <c r="G579" s="729"/>
      <c r="H579" s="73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85"/>
      <c r="C580" s="585"/>
      <c r="D580" s="593" t="s">
        <v>245</v>
      </c>
      <c r="E580" s="593"/>
      <c r="F580" s="593"/>
      <c r="G580" s="729"/>
      <c r="H580" s="73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85"/>
      <c r="C581" s="585"/>
      <c r="D581" s="585"/>
      <c r="E581" s="593"/>
      <c r="F581" s="593"/>
      <c r="G581" s="729"/>
      <c r="H581" s="73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85"/>
      <c r="C582" s="585"/>
      <c r="D582" s="593" t="s">
        <v>246</v>
      </c>
      <c r="E582" s="593"/>
      <c r="F582" s="593"/>
      <c r="G582" s="729"/>
      <c r="H582" s="731" t="s">
        <v>46</v>
      </c>
      <c r="I582" s="184"/>
      <c r="J582" s="648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85"/>
      <c r="C583" s="585"/>
      <c r="D583" s="585"/>
      <c r="E583" s="593"/>
      <c r="F583" s="593"/>
      <c r="G583" s="729"/>
      <c r="H583" s="731" t="s">
        <v>34</v>
      </c>
      <c r="I583" s="184"/>
      <c r="J583" s="648">
        <f t="shared" si="252"/>
        <v>0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85"/>
      <c r="C584" s="585"/>
      <c r="D584" s="585"/>
      <c r="E584" s="593" t="s">
        <v>247</v>
      </c>
      <c r="F584" s="593"/>
      <c r="G584" s="729"/>
      <c r="H584" s="73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85"/>
      <c r="C585" s="585"/>
      <c r="D585" s="585"/>
      <c r="E585" s="593"/>
      <c r="F585" s="593"/>
      <c r="G585" s="729"/>
      <c r="H585" s="73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85"/>
      <c r="C586" s="585"/>
      <c r="D586" s="585"/>
      <c r="E586" s="593" t="s">
        <v>248</v>
      </c>
      <c r="F586" s="593"/>
      <c r="G586" s="729"/>
      <c r="H586" s="73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85"/>
      <c r="C587" s="585"/>
      <c r="D587" s="585"/>
      <c r="E587" s="585"/>
      <c r="F587" s="593"/>
      <c r="G587" s="729"/>
      <c r="H587" s="73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85"/>
      <c r="C588" s="585"/>
      <c r="D588" s="593" t="s">
        <v>249</v>
      </c>
      <c r="E588" s="593"/>
      <c r="F588" s="593"/>
      <c r="G588" s="729"/>
      <c r="H588" s="73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85"/>
      <c r="C589" s="585"/>
      <c r="D589" s="585"/>
      <c r="E589" s="585"/>
      <c r="F589" s="593"/>
      <c r="G589" s="729"/>
      <c r="H589" s="73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85"/>
      <c r="C590" s="585"/>
      <c r="D590" s="593" t="s">
        <v>250</v>
      </c>
      <c r="E590" s="593"/>
      <c r="F590" s="593"/>
      <c r="G590" s="729"/>
      <c r="H590" s="73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3"/>
      <c r="B591" s="664"/>
      <c r="C591" s="664"/>
      <c r="D591" s="664"/>
      <c r="E591" s="542"/>
      <c r="F591" s="542"/>
      <c r="G591" s="665"/>
      <c r="H591" s="666" t="s">
        <v>34</v>
      </c>
      <c r="I591" s="667"/>
      <c r="J591" s="668">
        <v>0</v>
      </c>
      <c r="K591" s="669"/>
      <c r="L591" s="669"/>
      <c r="M591" s="669"/>
      <c r="N591" s="669"/>
      <c r="O591" s="669"/>
      <c r="P591" s="669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9"/>
      <c r="B592" s="660" t="s">
        <v>251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53">I593</f>
        <v>6935.73</v>
      </c>
      <c r="J592" s="675">
        <f t="shared" si="253"/>
        <v>0</v>
      </c>
      <c r="K592" s="644">
        <f t="shared" ref="K592:K594" ca="1" si="254">IF(I592&gt;0,J592*100/I592,0)</f>
        <v>0</v>
      </c>
      <c r="L592" s="645"/>
      <c r="M592" s="645"/>
      <c r="N592" s="645"/>
      <c r="O592" s="645"/>
      <c r="P592" s="645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85"/>
      <c r="C593" s="592" t="s">
        <v>252</v>
      </c>
      <c r="D593" s="585"/>
      <c r="E593" s="585"/>
      <c r="F593" s="593"/>
      <c r="G593" s="729"/>
      <c r="H593" s="734" t="s">
        <v>46</v>
      </c>
      <c r="I593" s="671">
        <f ca="1">IFERROR(__xludf.DUMMYFUNCTION("IMPORTRANGE(""https://docs.google.com/spreadsheets/d/1QqKyyYR6Q21VydFLVH3TRQUabQu_ym0Zz7PgGX0-kHA/edit?usp=sharing"",""แผน!HJ21"")"),6935.73)</f>
        <v>6935.73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85"/>
      <c r="C594" s="585"/>
      <c r="D594" s="585"/>
      <c r="E594" s="593"/>
      <c r="F594" s="593"/>
      <c r="G594" s="729"/>
      <c r="H594" s="734" t="s">
        <v>34</v>
      </c>
      <c r="I594" s="193">
        <f ca="1">IFERROR(__xludf.DUMMYFUNCTION("IMPORTRANGE(""https://docs.google.com/spreadsheets/d/1QqKyyYR6Q21VydFLVH3TRQUabQu_ym0Zz7PgGX0-kHA/edit?usp=sharing"",""แผน!HI21"")"),458)</f>
        <v>458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85"/>
      <c r="C595" s="585" t="s">
        <v>253</v>
      </c>
      <c r="D595" s="585"/>
      <c r="E595" s="585"/>
      <c r="F595" s="593"/>
      <c r="G595" s="729"/>
      <c r="H595" s="731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85"/>
      <c r="C596" s="585"/>
      <c r="D596" s="585"/>
      <c r="E596" s="593"/>
      <c r="F596" s="593"/>
      <c r="G596" s="729"/>
      <c r="H596" s="731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85"/>
      <c r="C597" s="585"/>
      <c r="D597" s="713" t="s">
        <v>254</v>
      </c>
      <c r="E597" s="593"/>
      <c r="F597" s="593"/>
      <c r="G597" s="729"/>
      <c r="H597" s="731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85"/>
      <c r="C598" s="585"/>
      <c r="D598" s="585"/>
      <c r="E598" s="593"/>
      <c r="F598" s="593"/>
      <c r="G598" s="729"/>
      <c r="H598" s="731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85"/>
      <c r="C599" s="585"/>
      <c r="D599" s="713" t="s">
        <v>255</v>
      </c>
      <c r="E599" s="593"/>
      <c r="F599" s="593"/>
      <c r="G599" s="729"/>
      <c r="H599" s="73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85"/>
      <c r="C600" s="585"/>
      <c r="D600" s="585"/>
      <c r="E600" s="593"/>
      <c r="F600" s="593"/>
      <c r="G600" s="729"/>
      <c r="H600" s="73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85"/>
      <c r="C601" s="585"/>
      <c r="D601" s="713" t="s">
        <v>256</v>
      </c>
      <c r="E601" s="593"/>
      <c r="F601" s="593"/>
      <c r="G601" s="729"/>
      <c r="H601" s="73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85"/>
      <c r="C602" s="585"/>
      <c r="D602" s="585"/>
      <c r="E602" s="593"/>
      <c r="F602" s="593"/>
      <c r="G602" s="729"/>
      <c r="H602" s="73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85"/>
      <c r="C603" s="672" t="s">
        <v>257</v>
      </c>
      <c r="D603" s="585"/>
      <c r="E603" s="585"/>
      <c r="F603" s="593"/>
      <c r="G603" s="729"/>
      <c r="H603" s="73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85"/>
      <c r="C604" s="585"/>
      <c r="D604" s="585"/>
      <c r="E604" s="593"/>
      <c r="F604" s="593"/>
      <c r="G604" s="729"/>
      <c r="H604" s="73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85"/>
      <c r="C605" s="585"/>
      <c r="D605" s="672" t="s">
        <v>258</v>
      </c>
      <c r="E605" s="593"/>
      <c r="F605" s="593"/>
      <c r="G605" s="729"/>
      <c r="H605" s="73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85"/>
      <c r="C606" s="585"/>
      <c r="D606" s="585"/>
      <c r="E606" s="585"/>
      <c r="F606" s="593"/>
      <c r="G606" s="729"/>
      <c r="H606" s="73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85"/>
      <c r="C607" s="585"/>
      <c r="D607" s="672" t="s">
        <v>259</v>
      </c>
      <c r="E607" s="585"/>
      <c r="F607" s="593"/>
      <c r="G607" s="729"/>
      <c r="H607" s="73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85"/>
      <c r="C608" s="585"/>
      <c r="D608" s="585"/>
      <c r="E608" s="593"/>
      <c r="F608" s="593"/>
      <c r="G608" s="729"/>
      <c r="H608" s="73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85"/>
      <c r="C609" s="585" t="s">
        <v>260</v>
      </c>
      <c r="D609" s="585"/>
      <c r="E609" s="585"/>
      <c r="F609" s="593"/>
      <c r="G609" s="729"/>
      <c r="H609" s="73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85"/>
      <c r="C610" s="585"/>
      <c r="D610" s="585"/>
      <c r="E610" s="593"/>
      <c r="F610" s="593"/>
      <c r="G610" s="729"/>
      <c r="H610" s="73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 hidden="1">
      <c r="A611" s="659"/>
      <c r="B611" s="673" t="s">
        <v>261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75">
        <f>J614+J616</f>
        <v>0</v>
      </c>
      <c r="K611" s="644">
        <f t="shared" ref="K611:K613" si="258">IF(I611&gt;0,J611*100/I611,0)</f>
        <v>0</v>
      </c>
      <c r="L611" s="645"/>
      <c r="M611" s="645"/>
      <c r="N611" s="645"/>
      <c r="O611" s="645"/>
      <c r="P611" s="645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6"/>
      <c r="B612" s="686"/>
      <c r="C612" s="678" t="s">
        <v>262</v>
      </c>
      <c r="D612" s="686"/>
      <c r="E612" s="686"/>
      <c r="F612" s="679"/>
      <c r="G612" s="680"/>
      <c r="H612" s="681" t="s">
        <v>46</v>
      </c>
      <c r="I612" s="683">
        <v>0</v>
      </c>
      <c r="J612" s="683">
        <f t="shared" ref="J612:J613" si="259">J614+J616</f>
        <v>0</v>
      </c>
      <c r="K612" s="684">
        <f t="shared" si="258"/>
        <v>0</v>
      </c>
      <c r="L612" s="685"/>
      <c r="M612" s="685"/>
      <c r="N612" s="685"/>
      <c r="O612" s="685"/>
      <c r="P612" s="685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6"/>
      <c r="B613" s="686"/>
      <c r="C613" s="686" t="s">
        <v>263</v>
      </c>
      <c r="D613" s="686"/>
      <c r="E613" s="686"/>
      <c r="F613" s="679"/>
      <c r="G613" s="680"/>
      <c r="H613" s="681" t="s">
        <v>34</v>
      </c>
      <c r="I613" s="683">
        <v>0</v>
      </c>
      <c r="J613" s="683">
        <f t="shared" si="259"/>
        <v>0</v>
      </c>
      <c r="K613" s="684">
        <f t="shared" si="258"/>
        <v>0</v>
      </c>
      <c r="L613" s="685"/>
      <c r="M613" s="685"/>
      <c r="N613" s="685"/>
      <c r="O613" s="685"/>
      <c r="P613" s="685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1"/>
      <c r="C614" s="581"/>
      <c r="D614" s="687" t="s">
        <v>264</v>
      </c>
      <c r="E614" s="581"/>
      <c r="F614" s="687"/>
      <c r="G614" s="582"/>
      <c r="H614" s="583" t="s">
        <v>46</v>
      </c>
      <c r="I614" s="58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1"/>
      <c r="C615" s="581"/>
      <c r="D615" s="581"/>
      <c r="E615" s="581"/>
      <c r="F615" s="687"/>
      <c r="G615" s="582"/>
      <c r="H615" s="583" t="s">
        <v>34</v>
      </c>
      <c r="I615" s="58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1"/>
      <c r="C616" s="581"/>
      <c r="D616" s="688" t="s">
        <v>264</v>
      </c>
      <c r="E616" s="687"/>
      <c r="F616" s="687"/>
      <c r="G616" s="582"/>
      <c r="H616" s="583" t="s">
        <v>46</v>
      </c>
      <c r="I616" s="58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1"/>
      <c r="C617" s="581"/>
      <c r="D617" s="581"/>
      <c r="E617" s="687"/>
      <c r="F617" s="687"/>
      <c r="G617" s="582"/>
      <c r="H617" s="583" t="s">
        <v>34</v>
      </c>
      <c r="I617" s="58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1"/>
      <c r="C618" s="581"/>
      <c r="D618" s="688" t="s">
        <v>265</v>
      </c>
      <c r="E618" s="687"/>
      <c r="F618" s="687"/>
      <c r="G618" s="582"/>
      <c r="H618" s="583" t="s">
        <v>46</v>
      </c>
      <c r="I618" s="58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1"/>
      <c r="C619" s="581"/>
      <c r="D619" s="581"/>
      <c r="E619" s="687"/>
      <c r="F619" s="687"/>
      <c r="G619" s="582"/>
      <c r="H619" s="583" t="s">
        <v>34</v>
      </c>
      <c r="I619" s="58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 hidden="1">
      <c r="A620" s="689"/>
      <c r="B620" s="698"/>
      <c r="C620" s="691" t="s">
        <v>266</v>
      </c>
      <c r="D620" s="698"/>
      <c r="E620" s="698"/>
      <c r="F620" s="692"/>
      <c r="G620" s="693"/>
      <c r="H620" s="694" t="s">
        <v>46</v>
      </c>
      <c r="I620" s="695">
        <f ca="1">IFERROR(__xludf.DUMMYFUNCTION("IMPORTRANGE(""https://docs.google.com/spreadsheets/d/1QqKyyYR6Q21VydFLVH3TRQUabQu_ym0Zz7PgGX0-kHA/edit?usp=sharing"",""แผน!HL21"")"),0)</f>
        <v>0</v>
      </c>
      <c r="J620" s="695">
        <f t="shared" ref="J620:J621" si="260">J622+J624+J626</f>
        <v>0</v>
      </c>
      <c r="K620" s="696">
        <f t="shared" ref="K620:K621" ca="1" si="261">IF(I620&gt;0,J620*100/I620,0)</f>
        <v>0</v>
      </c>
      <c r="L620" s="697"/>
      <c r="M620" s="697"/>
      <c r="N620" s="697"/>
      <c r="O620" s="697"/>
      <c r="P620" s="697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 hidden="1">
      <c r="A621" s="689"/>
      <c r="B621" s="698"/>
      <c r="C621" s="698" t="s">
        <v>267</v>
      </c>
      <c r="D621" s="698"/>
      <c r="E621" s="698"/>
      <c r="F621" s="692"/>
      <c r="G621" s="693"/>
      <c r="H621" s="694" t="s">
        <v>34</v>
      </c>
      <c r="I621" s="695">
        <f ca="1">IFERROR(__xludf.DUMMYFUNCTION("IMPORTRANGE(""https://docs.google.com/spreadsheets/d/1QqKyyYR6Q21VydFLVH3TRQUabQu_ym0Zz7PgGX0-kHA/edit?usp=sharing"",""แผน!HK21"")"),0)</f>
        <v>0</v>
      </c>
      <c r="J621" s="695">
        <f t="shared" si="260"/>
        <v>0</v>
      </c>
      <c r="K621" s="696">
        <f t="shared" ca="1" si="261"/>
        <v>0</v>
      </c>
      <c r="L621" s="697"/>
      <c r="M621" s="697"/>
      <c r="N621" s="697"/>
      <c r="O621" s="697"/>
      <c r="P621" s="697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 hidden="1">
      <c r="A622" s="573"/>
      <c r="B622" s="585"/>
      <c r="C622" s="585"/>
      <c r="D622" s="713" t="s">
        <v>268</v>
      </c>
      <c r="E622" s="593"/>
      <c r="F622" s="593"/>
      <c r="G622" s="729"/>
      <c r="H622" s="73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 hidden="1">
      <c r="A623" s="573"/>
      <c r="B623" s="585"/>
      <c r="C623" s="585"/>
      <c r="D623" s="585"/>
      <c r="E623" s="593"/>
      <c r="F623" s="593"/>
      <c r="G623" s="729"/>
      <c r="H623" s="73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 hidden="1">
      <c r="A624" s="573"/>
      <c r="B624" s="585"/>
      <c r="C624" s="585"/>
      <c r="D624" s="713" t="s">
        <v>264</v>
      </c>
      <c r="E624" s="593"/>
      <c r="F624" s="593"/>
      <c r="G624" s="729"/>
      <c r="H624" s="73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 hidden="1">
      <c r="A625" s="573"/>
      <c r="B625" s="585"/>
      <c r="C625" s="585"/>
      <c r="D625" s="585"/>
      <c r="E625" s="593"/>
      <c r="F625" s="593"/>
      <c r="G625" s="729"/>
      <c r="H625" s="73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 hidden="1">
      <c r="A626" s="573"/>
      <c r="B626" s="585"/>
      <c r="C626" s="585"/>
      <c r="D626" s="713" t="s">
        <v>269</v>
      </c>
      <c r="E626" s="593"/>
      <c r="F626" s="593"/>
      <c r="G626" s="729"/>
      <c r="H626" s="73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 hidden="1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69"/>
      <c r="J627" s="393">
        <v>0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3">
        <v>7</v>
      </c>
      <c r="B628" s="704" t="s">
        <v>270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262">I651</f>
        <v>90</v>
      </c>
      <c r="J628" s="708">
        <f t="shared" ca="1" si="262"/>
        <v>0</v>
      </c>
      <c r="K628" s="709">
        <f ca="1">IF(I628&gt;0,J628*100/I628,0)</f>
        <v>0</v>
      </c>
      <c r="L628" s="710"/>
      <c r="M628" s="710"/>
      <c r="N628" s="710"/>
      <c r="O628" s="710"/>
      <c r="P628" s="710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730"/>
      <c r="C629" s="730" t="s">
        <v>16</v>
      </c>
      <c r="D629" s="929" t="s">
        <v>17</v>
      </c>
      <c r="E629" s="923"/>
      <c r="F629" s="923"/>
      <c r="G629" s="189"/>
      <c r="H629" s="563" t="s">
        <v>12</v>
      </c>
      <c r="I629" s="270"/>
      <c r="J629" s="270"/>
      <c r="K629" s="466"/>
      <c r="L629" s="195">
        <f t="shared" ref="L629:N629" ca="1" si="263">L630+L631</f>
        <v>342855</v>
      </c>
      <c r="M629" s="195">
        <f t="shared" si="263"/>
        <v>0</v>
      </c>
      <c r="N629" s="195">
        <f t="shared" si="263"/>
        <v>70215</v>
      </c>
      <c r="O629" s="195">
        <f t="shared" ref="O629:O634" ca="1" si="264">IF(L629&gt;0,N629*100/L629,0)</f>
        <v>20.479502996893732</v>
      </c>
      <c r="P629" s="195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726"/>
      <c r="C630" s="726"/>
      <c r="D630" s="687"/>
      <c r="E630" s="726" t="s">
        <v>184</v>
      </c>
      <c r="F630" s="726"/>
      <c r="G630" s="568"/>
      <c r="H630" s="165" t="s">
        <v>12</v>
      </c>
      <c r="I630" s="584"/>
      <c r="J630" s="584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2"/>
      <c r="C631" s="726"/>
      <c r="D631" s="687"/>
      <c r="E631" s="726" t="s">
        <v>185</v>
      </c>
      <c r="F631" s="726"/>
      <c r="G631" s="568"/>
      <c r="H631" s="165" t="s">
        <v>12</v>
      </c>
      <c r="I631" s="584"/>
      <c r="J631" s="584"/>
      <c r="K631" s="93"/>
      <c r="L631" s="93">
        <f t="shared" ca="1" si="266"/>
        <v>342855</v>
      </c>
      <c r="M631" s="93">
        <f t="shared" si="266"/>
        <v>0</v>
      </c>
      <c r="N631" s="93">
        <f t="shared" si="266"/>
        <v>70215</v>
      </c>
      <c r="O631" s="93">
        <f t="shared" ca="1" si="264"/>
        <v>20.479502996893732</v>
      </c>
      <c r="P631" s="93">
        <f t="shared" si="265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730"/>
      <c r="D632" s="571" t="s">
        <v>20</v>
      </c>
      <c r="E632" s="730"/>
      <c r="F632" s="730"/>
      <c r="G632" s="189"/>
      <c r="H632" s="779" t="s">
        <v>12</v>
      </c>
      <c r="I632" s="184"/>
      <c r="J632" s="184"/>
      <c r="K632" s="163"/>
      <c r="L632" s="466">
        <f t="shared" ref="L632:N632" ca="1" si="267">L633+L634</f>
        <v>342855</v>
      </c>
      <c r="M632" s="466">
        <f t="shared" si="267"/>
        <v>0</v>
      </c>
      <c r="N632" s="466">
        <f t="shared" si="267"/>
        <v>70215</v>
      </c>
      <c r="O632" s="466">
        <f t="shared" ca="1" si="264"/>
        <v>20.479502996893732</v>
      </c>
      <c r="P632" s="466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2"/>
      <c r="C633" s="726"/>
      <c r="D633" s="687"/>
      <c r="E633" s="726" t="s">
        <v>184</v>
      </c>
      <c r="F633" s="726"/>
      <c r="G633" s="568"/>
      <c r="H633" s="165" t="s">
        <v>12</v>
      </c>
      <c r="I633" s="584"/>
      <c r="J633" s="584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2"/>
      <c r="C634" s="726"/>
      <c r="D634" s="687"/>
      <c r="E634" s="726" t="s">
        <v>185</v>
      </c>
      <c r="F634" s="726"/>
      <c r="G634" s="568"/>
      <c r="H634" s="165" t="s">
        <v>12</v>
      </c>
      <c r="I634" s="584"/>
      <c r="J634" s="584"/>
      <c r="K634" s="93"/>
      <c r="L634" s="93">
        <f ca="1">IFERROR(__xludf.DUMMYFUNCTION("IMPORTRANGE(""https://docs.google.com/spreadsheets/d/1QqKyyYR6Q21VydFLVH3TRQUabQu_ym0Zz7PgGX0-kHA/edit?usp=sharing"",""แผน!HN21"")"),342855)</f>
        <v>342855</v>
      </c>
      <c r="M634" s="93">
        <v>0</v>
      </c>
      <c r="N634" s="93">
        <f>N635+N636+N637+N638</f>
        <v>70215</v>
      </c>
      <c r="O634" s="93">
        <f t="shared" ca="1" si="264"/>
        <v>20.479502996893732</v>
      </c>
      <c r="P634" s="93">
        <f t="shared" si="265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730"/>
      <c r="D635" s="730"/>
      <c r="E635" s="730"/>
      <c r="F635" s="730" t="s">
        <v>186</v>
      </c>
      <c r="G635" s="189"/>
      <c r="H635" s="779" t="s">
        <v>12</v>
      </c>
      <c r="I635" s="270"/>
      <c r="J635" s="270"/>
      <c r="K635" s="466"/>
      <c r="L635" s="466"/>
      <c r="M635" s="466"/>
      <c r="N635" s="801">
        <v>0</v>
      </c>
      <c r="O635" s="466"/>
      <c r="P635" s="466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730"/>
      <c r="D636" s="730"/>
      <c r="E636" s="730"/>
      <c r="F636" s="730" t="s">
        <v>187</v>
      </c>
      <c r="G636" s="189"/>
      <c r="H636" s="779" t="s">
        <v>12</v>
      </c>
      <c r="I636" s="270"/>
      <c r="J636" s="270"/>
      <c r="K636" s="466"/>
      <c r="L636" s="466"/>
      <c r="M636" s="466"/>
      <c r="N636" s="801">
        <v>0</v>
      </c>
      <c r="O636" s="466"/>
      <c r="P636" s="466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730"/>
      <c r="D637" s="730"/>
      <c r="E637" s="730"/>
      <c r="F637" s="730" t="s">
        <v>188</v>
      </c>
      <c r="G637" s="189"/>
      <c r="H637" s="779" t="s">
        <v>12</v>
      </c>
      <c r="I637" s="270"/>
      <c r="J637" s="270"/>
      <c r="K637" s="466"/>
      <c r="L637" s="466"/>
      <c r="M637" s="466"/>
      <c r="N637" s="801">
        <v>0</v>
      </c>
      <c r="O637" s="466"/>
      <c r="P637" s="466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730"/>
      <c r="D638" s="730"/>
      <c r="E638" s="730"/>
      <c r="F638" s="730" t="s">
        <v>189</v>
      </c>
      <c r="G638" s="189"/>
      <c r="H638" s="779" t="s">
        <v>12</v>
      </c>
      <c r="I638" s="270"/>
      <c r="J638" s="270"/>
      <c r="K638" s="466"/>
      <c r="L638" s="466"/>
      <c r="M638" s="466"/>
      <c r="N638" s="801">
        <v>70215</v>
      </c>
      <c r="O638" s="466"/>
      <c r="P638" s="466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730"/>
      <c r="D639" s="571" t="s">
        <v>21</v>
      </c>
      <c r="E639" s="730"/>
      <c r="F639" s="730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2"/>
      <c r="C640" s="726"/>
      <c r="D640" s="726"/>
      <c r="E640" s="726" t="s">
        <v>18</v>
      </c>
      <c r="F640" s="726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2"/>
      <c r="C641" s="726"/>
      <c r="D641" s="726"/>
      <c r="E641" s="726" t="s">
        <v>19</v>
      </c>
      <c r="F641" s="726"/>
      <c r="G641" s="56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85"/>
      <c r="C642" s="730" t="s">
        <v>16</v>
      </c>
      <c r="D642" s="850" t="s">
        <v>38</v>
      </c>
      <c r="E642" s="728"/>
      <c r="F642" s="728"/>
      <c r="G642" s="578"/>
      <c r="H642" s="729"/>
      <c r="I642" s="184"/>
      <c r="J642" s="184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11"/>
      <c r="B643" s="539"/>
      <c r="C643" s="730"/>
      <c r="D643" s="593"/>
      <c r="E643" s="713" t="s">
        <v>271</v>
      </c>
      <c r="F643" s="593"/>
      <c r="G643" s="729"/>
      <c r="H643" s="731" t="s">
        <v>272</v>
      </c>
      <c r="I643" s="270">
        <f ca="1">IFERROR(__xludf.DUMMYFUNCTION("IMPORTRANGE(""https://docs.google.com/spreadsheets/d/1QqKyyYR6Q21VydFLVH3TRQUabQu_ym0Zz7PgGX0-kHA/edit?usp=sharing"",""แผน!HR21"")"),0)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11"/>
      <c r="B644" s="539"/>
      <c r="C644" s="730"/>
      <c r="D644" s="593"/>
      <c r="E644" s="713" t="s">
        <v>273</v>
      </c>
      <c r="F644" s="593"/>
      <c r="G644" s="729"/>
      <c r="H644" s="731" t="s">
        <v>274</v>
      </c>
      <c r="I644" s="270">
        <f ca="1">IFERROR(__xludf.DUMMYFUNCTION("IMPORTRANGE(""https://docs.google.com/spreadsheets/d/1QqKyyYR6Q21VydFLVH3TRQUabQu_ym0Zz7PgGX0-kHA/edit?usp=sharing"",""แผน!HR21"")"),0)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11"/>
      <c r="B645" s="539"/>
      <c r="C645" s="730"/>
      <c r="D645" s="593"/>
      <c r="E645" s="713" t="s">
        <v>275</v>
      </c>
      <c r="F645" s="593"/>
      <c r="G645" s="729"/>
      <c r="H645" s="73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IFERROR(__xludf.DUMMYFUNCTION("IMPORTRANGE(""https://docs.google.com/spreadsheets/d/1XWAQStnk-4SwqDmLtmXYiTMKHgktTP8We1SCoS47DrQ/edit?usp=sharing"",""จัดที่ดิน!AS21"")"),106)</f>
        <v>106</v>
      </c>
      <c r="K645" s="163">
        <f t="shared" si="271"/>
        <v>0</v>
      </c>
      <c r="L645" s="163"/>
      <c r="M645" s="163"/>
      <c r="N645" s="466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11"/>
      <c r="B646" s="539"/>
      <c r="C646" s="730"/>
      <c r="D646" s="593"/>
      <c r="E646" s="593"/>
      <c r="F646" s="593"/>
      <c r="G646" s="729"/>
      <c r="H646" s="73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IFERROR(__xludf.DUMMYFUNCTION("IMPORTRANGE(""https://docs.google.com/spreadsheets/d/1XWAQStnk-4SwqDmLtmXYiTMKHgktTP8We1SCoS47DrQ/edit?usp=sharing"",""จัดที่ดิน!AT21"")"),63.38)</f>
        <v>63.38</v>
      </c>
      <c r="K646" s="466">
        <f t="shared" si="271"/>
        <v>0</v>
      </c>
      <c r="L646" s="163"/>
      <c r="M646" s="163"/>
      <c r="N646" s="466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11"/>
      <c r="B647" s="539"/>
      <c r="C647" s="730"/>
      <c r="D647" s="593"/>
      <c r="E647" s="713" t="s">
        <v>162</v>
      </c>
      <c r="F647" s="593"/>
      <c r="G647" s="729"/>
      <c r="H647" s="731" t="s">
        <v>35</v>
      </c>
      <c r="I647" s="270">
        <f ca="1">IFERROR(__xludf.DUMMYFUNCTION("IMPORTRANGE(""https://docs.google.com/spreadsheets/d/1QqKyyYR6Q21VydFLVH3TRQUabQu_ym0Zz7PgGX0-kHA/edit?usp=sharing"",""แผน!HS21"")"),90)</f>
        <v>90</v>
      </c>
      <c r="J647" s="270">
        <f ca="1">IFERROR(__xludf.DUMMYFUNCTION("IMPORTRANGE(""https://docs.google.com/spreadsheets/d/1XWAQStnk-4SwqDmLtmXYiTMKHgktTP8We1SCoS47DrQ/edit?usp=sharing"",""จัดที่ดิน!AU21"")"),119)</f>
        <v>119</v>
      </c>
      <c r="K647" s="163">
        <f t="shared" ca="1" si="271"/>
        <v>132.22222222222223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11"/>
      <c r="B648" s="539"/>
      <c r="C648" s="730"/>
      <c r="D648" s="593"/>
      <c r="E648" s="593"/>
      <c r="F648" s="593"/>
      <c r="G648" s="729"/>
      <c r="H648" s="73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IFERROR(__xludf.DUMMYFUNCTION("IMPORTRANGE(""https://docs.google.com/spreadsheets/d/1XWAQStnk-4SwqDmLtmXYiTMKHgktTP8We1SCoS47DrQ/edit?usp=sharing"",""จัดที่ดิน!AV21"")"),71.05)</f>
        <v>71.05</v>
      </c>
      <c r="K648" s="466">
        <f t="shared" si="271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11"/>
      <c r="B649" s="539"/>
      <c r="C649" s="730"/>
      <c r="D649" s="593"/>
      <c r="E649" s="713" t="s">
        <v>276</v>
      </c>
      <c r="F649" s="593"/>
      <c r="G649" s="729"/>
      <c r="H649" s="731" t="s">
        <v>35</v>
      </c>
      <c r="I649" s="270">
        <f ca="1">IFERROR(__xludf.DUMMYFUNCTION("IMPORTRANGE(""https://docs.google.com/spreadsheets/d/1QqKyyYR6Q21VydFLVH3TRQUabQu_ym0Zz7PgGX0-kHA/edit?usp=sharing"",""แผน!HS21"")"),90)</f>
        <v>90</v>
      </c>
      <c r="J649" s="270">
        <f ca="1">IFERROR(__xludf.DUMMYFUNCTION("IMPORTRANGE(""https://docs.google.com/spreadsheets/d/1XWAQStnk-4SwqDmLtmXYiTMKHgktTP8We1SCoS47DrQ/edit?usp=sharing"",""จัดที่ดิน!AW21"")"),3)</f>
        <v>3</v>
      </c>
      <c r="K649" s="163">
        <f t="shared" ca="1" si="271"/>
        <v>3.3333333333333335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11"/>
      <c r="B650" s="539"/>
      <c r="C650" s="730"/>
      <c r="D650" s="593"/>
      <c r="E650" s="593"/>
      <c r="F650" s="593"/>
      <c r="G650" s="729"/>
      <c r="H650" s="73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IFERROR(__xludf.DUMMYFUNCTION("IMPORTRANGE(""https://docs.google.com/spreadsheets/d/1XWAQStnk-4SwqDmLtmXYiTMKHgktTP8We1SCoS47DrQ/edit?usp=sharing"",""จัดที่ดิน!AX21"")"),0.49)</f>
        <v>0.49</v>
      </c>
      <c r="K650" s="466">
        <f t="shared" si="271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11"/>
      <c r="B651" s="539"/>
      <c r="C651" s="730"/>
      <c r="D651" s="593"/>
      <c r="E651" s="713" t="s">
        <v>277</v>
      </c>
      <c r="F651" s="593"/>
      <c r="G651" s="729"/>
      <c r="H651" s="731" t="s">
        <v>35</v>
      </c>
      <c r="I651" s="270">
        <f ca="1">IFERROR(__xludf.DUMMYFUNCTION("IMPORTRANGE(""https://docs.google.com/spreadsheets/d/1QqKyyYR6Q21VydFLVH3TRQUabQu_ym0Zz7PgGX0-kHA/edit?usp=sharing"",""แผน!HS21"")"),90)</f>
        <v>90</v>
      </c>
      <c r="J651" s="270">
        <f ca="1">IFERROR(__xludf.DUMMYFUNCTION("IMPORTRANGE(""https://docs.google.com/spreadsheets/d/1XWAQStnk-4SwqDmLtmXYiTMKHgktTP8We1SCoS47DrQ/edit?usp=sharing"",""จัดที่ดิน!AY21"")"),0)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4"/>
      <c r="B652" s="715"/>
      <c r="C652" s="716"/>
      <c r="D652" s="701"/>
      <c r="E652" s="701"/>
      <c r="F652" s="701"/>
      <c r="G652" s="702"/>
      <c r="H652" s="468" t="s">
        <v>46</v>
      </c>
      <c r="I652" s="469">
        <v>0</v>
      </c>
      <c r="J652" s="469">
        <f ca="1">IFERROR(__xludf.DUMMYFUNCTION("IMPORTRANGE(""https://docs.google.com/spreadsheets/d/1XWAQStnk-4SwqDmLtmXYiTMKHgktTP8We1SCoS47DrQ/edit?usp=sharing"",""จัดที่ดิน!AZ21"")"),0)</f>
        <v>0</v>
      </c>
      <c r="K652" s="470">
        <f t="shared" si="271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7">
        <v>8</v>
      </c>
      <c r="B653" s="704" t="s">
        <v>278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40"/>
      <c r="B654" s="639" t="s">
        <v>279</v>
      </c>
      <c r="C654" s="640"/>
      <c r="D654" s="640"/>
      <c r="E654" s="640"/>
      <c r="F654" s="640"/>
      <c r="G654" s="641"/>
      <c r="H654" s="674" t="s">
        <v>46</v>
      </c>
      <c r="I654" s="675">
        <f t="shared" ref="I654:J654" ca="1" si="272">I669</f>
        <v>50</v>
      </c>
      <c r="J654" s="675">
        <f t="shared" si="27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730"/>
      <c r="C655" s="730" t="s">
        <v>16</v>
      </c>
      <c r="D655" s="929" t="s">
        <v>17</v>
      </c>
      <c r="E655" s="923"/>
      <c r="F655" s="923"/>
      <c r="G655" s="189"/>
      <c r="H655" s="563" t="s">
        <v>12</v>
      </c>
      <c r="I655" s="270"/>
      <c r="J655" s="270"/>
      <c r="K655" s="466"/>
      <c r="L655" s="195">
        <f t="shared" ref="L655:N655" ca="1" si="273">L656+L657</f>
        <v>11000</v>
      </c>
      <c r="M655" s="195">
        <f t="shared" si="273"/>
        <v>0</v>
      </c>
      <c r="N655" s="195">
        <f t="shared" si="273"/>
        <v>5240</v>
      </c>
      <c r="O655" s="195">
        <f t="shared" ref="O655:O660" ca="1" si="274">IF(L655&gt;0,N655*100/L655,0)</f>
        <v>47.636363636363633</v>
      </c>
      <c r="P655" s="195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726"/>
      <c r="C656" s="726"/>
      <c r="D656" s="687"/>
      <c r="E656" s="726" t="s">
        <v>184</v>
      </c>
      <c r="F656" s="726"/>
      <c r="G656" s="568"/>
      <c r="H656" s="165" t="s">
        <v>12</v>
      </c>
      <c r="I656" s="584"/>
      <c r="J656" s="584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2"/>
      <c r="C657" s="726"/>
      <c r="D657" s="687"/>
      <c r="E657" s="726" t="s">
        <v>185</v>
      </c>
      <c r="F657" s="726"/>
      <c r="G657" s="568"/>
      <c r="H657" s="165" t="s">
        <v>12</v>
      </c>
      <c r="I657" s="584"/>
      <c r="J657" s="584"/>
      <c r="K657" s="93"/>
      <c r="L657" s="93">
        <f t="shared" ca="1" si="276"/>
        <v>11000</v>
      </c>
      <c r="M657" s="93">
        <f t="shared" si="276"/>
        <v>0</v>
      </c>
      <c r="N657" s="93">
        <f t="shared" si="276"/>
        <v>5240</v>
      </c>
      <c r="O657" s="93">
        <f t="shared" ca="1" si="274"/>
        <v>47.636363636363633</v>
      </c>
      <c r="P657" s="93">
        <f t="shared" si="275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730"/>
      <c r="D658" s="571" t="s">
        <v>20</v>
      </c>
      <c r="E658" s="730"/>
      <c r="F658" s="730"/>
      <c r="G658" s="189"/>
      <c r="H658" s="779" t="s">
        <v>12</v>
      </c>
      <c r="I658" s="184"/>
      <c r="J658" s="184"/>
      <c r="K658" s="163"/>
      <c r="L658" s="466">
        <f t="shared" ref="L658:N658" ca="1" si="277">L659+L660</f>
        <v>11000</v>
      </c>
      <c r="M658" s="466">
        <f t="shared" si="277"/>
        <v>0</v>
      </c>
      <c r="N658" s="466">
        <f t="shared" si="277"/>
        <v>5240</v>
      </c>
      <c r="O658" s="466">
        <f t="shared" ca="1" si="274"/>
        <v>47.636363636363633</v>
      </c>
      <c r="P658" s="466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2"/>
      <c r="C659" s="726"/>
      <c r="D659" s="687"/>
      <c r="E659" s="726" t="s">
        <v>184</v>
      </c>
      <c r="F659" s="726"/>
      <c r="G659" s="568"/>
      <c r="H659" s="165" t="s">
        <v>12</v>
      </c>
      <c r="I659" s="584"/>
      <c r="J659" s="584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2"/>
      <c r="C660" s="726"/>
      <c r="D660" s="687"/>
      <c r="E660" s="726" t="s">
        <v>185</v>
      </c>
      <c r="F660" s="726"/>
      <c r="G660" s="568"/>
      <c r="H660" s="165" t="s">
        <v>12</v>
      </c>
      <c r="I660" s="584"/>
      <c r="J660" s="584"/>
      <c r="K660" s="93"/>
      <c r="L660" s="93">
        <f ca="1">IFERROR(__xludf.DUMMYFUNCTION("IMPORTRANGE(""https://docs.google.com/spreadsheets/d/1QqKyyYR6Q21VydFLVH3TRQUabQu_ym0Zz7PgGX0-kHA/edit?usp=sharing"",""แผน!HV21"")"),11000)</f>
        <v>11000</v>
      </c>
      <c r="M660" s="93">
        <v>0</v>
      </c>
      <c r="N660" s="93">
        <f>N661+N662+N663+N664</f>
        <v>5240</v>
      </c>
      <c r="O660" s="93">
        <f t="shared" ca="1" si="274"/>
        <v>47.636363636363633</v>
      </c>
      <c r="P660" s="93">
        <f t="shared" si="275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730"/>
      <c r="D661" s="730"/>
      <c r="E661" s="730"/>
      <c r="F661" s="730" t="s">
        <v>186</v>
      </c>
      <c r="G661" s="189"/>
      <c r="H661" s="779" t="s">
        <v>12</v>
      </c>
      <c r="I661" s="270"/>
      <c r="J661" s="270"/>
      <c r="K661" s="466"/>
      <c r="L661" s="466"/>
      <c r="M661" s="466"/>
      <c r="N661" s="801">
        <v>0</v>
      </c>
      <c r="O661" s="466"/>
      <c r="P661" s="466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730"/>
      <c r="D662" s="730"/>
      <c r="E662" s="730"/>
      <c r="F662" s="730" t="s">
        <v>187</v>
      </c>
      <c r="G662" s="189"/>
      <c r="H662" s="779" t="s">
        <v>12</v>
      </c>
      <c r="I662" s="270"/>
      <c r="J662" s="270"/>
      <c r="K662" s="466"/>
      <c r="L662" s="466"/>
      <c r="M662" s="466"/>
      <c r="N662" s="801">
        <v>0</v>
      </c>
      <c r="O662" s="466"/>
      <c r="P662" s="466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730"/>
      <c r="E663" s="730"/>
      <c r="F663" s="730" t="s">
        <v>188</v>
      </c>
      <c r="G663" s="189"/>
      <c r="H663" s="779" t="s">
        <v>12</v>
      </c>
      <c r="I663" s="270"/>
      <c r="J663" s="270"/>
      <c r="K663" s="466"/>
      <c r="L663" s="466"/>
      <c r="M663" s="466"/>
      <c r="N663" s="801">
        <v>0</v>
      </c>
      <c r="O663" s="466"/>
      <c r="P663" s="466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730"/>
      <c r="F664" s="730" t="s">
        <v>189</v>
      </c>
      <c r="G664" s="189"/>
      <c r="H664" s="779" t="s">
        <v>12</v>
      </c>
      <c r="I664" s="270"/>
      <c r="J664" s="270"/>
      <c r="K664" s="466"/>
      <c r="L664" s="466"/>
      <c r="M664" s="466"/>
      <c r="N664" s="801">
        <v>5240</v>
      </c>
      <c r="O664" s="466"/>
      <c r="P664" s="466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730"/>
      <c r="F665" s="730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2"/>
      <c r="C666" s="572"/>
      <c r="D666" s="572"/>
      <c r="E666" s="726" t="s">
        <v>18</v>
      </c>
      <c r="F666" s="726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2"/>
      <c r="C667" s="572"/>
      <c r="D667" s="572"/>
      <c r="E667" s="726" t="s">
        <v>19</v>
      </c>
      <c r="F667" s="726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85"/>
      <c r="C668" s="539" t="s">
        <v>16</v>
      </c>
      <c r="D668" s="847" t="s">
        <v>38</v>
      </c>
      <c r="E668" s="728"/>
      <c r="F668" s="728"/>
      <c r="G668" s="578"/>
      <c r="H668" s="729"/>
      <c r="I668" s="184"/>
      <c r="J668" s="184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85"/>
      <c r="C669" s="585"/>
      <c r="D669" s="585" t="s">
        <v>280</v>
      </c>
      <c r="E669" s="593"/>
      <c r="F669" s="593"/>
      <c r="G669" s="729"/>
      <c r="H669" s="734" t="s">
        <v>46</v>
      </c>
      <c r="I669" s="648">
        <f ca="1">IFERROR(__xludf.DUMMYFUNCTION("IMPORTRANGE(""https://docs.google.com/spreadsheets/d/1QqKyyYR6Q21VydFLVH3TRQUabQu_ym0Zz7PgGX0-kHA/edit?usp=sharing"",""แผน!IA21"")"),50)</f>
        <v>50</v>
      </c>
      <c r="J669" s="64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85"/>
      <c r="C670" s="585"/>
      <c r="D670" s="585"/>
      <c r="E670" s="593" t="s">
        <v>281</v>
      </c>
      <c r="F670" s="593"/>
      <c r="G670" s="729"/>
      <c r="H670" s="731" t="s">
        <v>66</v>
      </c>
      <c r="I670" s="270">
        <f ca="1">IFERROR(__xludf.DUMMYFUNCTION("IMPORTRANGE(""https://docs.google.com/spreadsheets/d/1QqKyyYR6Q21VydFLVH3TRQUabQu_ym0Zz7PgGX0-kHA/edit?usp=sharing"",""แผน!HZ21"")"),5)</f>
        <v>5</v>
      </c>
      <c r="J670" s="215">
        <v>5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85"/>
      <c r="C671" s="585"/>
      <c r="D671" s="585"/>
      <c r="E671" s="593" t="s">
        <v>282</v>
      </c>
      <c r="F671" s="593"/>
      <c r="G671" s="729"/>
      <c r="H671" s="731" t="s">
        <v>66</v>
      </c>
      <c r="I671" s="270">
        <f ca="1">IFERROR(__xludf.DUMMYFUNCTION("IMPORTRANGE(""https://docs.google.com/spreadsheets/d/1QqKyyYR6Q21VydFLVH3TRQUabQu_ym0Zz7PgGX0-kHA/edit?usp=sharing"",""แผน!HZ21"")"),5)</f>
        <v>5</v>
      </c>
      <c r="J671" s="215">
        <v>5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85"/>
      <c r="C672" s="585"/>
      <c r="D672" s="585"/>
      <c r="E672" s="593" t="s">
        <v>283</v>
      </c>
      <c r="F672" s="593"/>
      <c r="G672" s="729"/>
      <c r="H672" s="731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85"/>
      <c r="C673" s="585"/>
      <c r="D673" s="585"/>
      <c r="E673" s="593" t="s">
        <v>284</v>
      </c>
      <c r="F673" s="593"/>
      <c r="G673" s="729"/>
      <c r="H673" s="731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85"/>
      <c r="C674" s="585"/>
      <c r="D674" s="585"/>
      <c r="E674" s="593" t="s">
        <v>285</v>
      </c>
      <c r="F674" s="593"/>
      <c r="G674" s="729"/>
      <c r="H674" s="731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85"/>
      <c r="C675" s="585"/>
      <c r="D675" s="585"/>
      <c r="E675" s="593" t="s">
        <v>286</v>
      </c>
      <c r="F675" s="593"/>
      <c r="G675" s="729"/>
      <c r="H675" s="731" t="s">
        <v>46</v>
      </c>
      <c r="I675" s="270"/>
      <c r="J675" s="64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85"/>
      <c r="C676" s="585"/>
      <c r="D676" s="585"/>
      <c r="E676" s="593"/>
      <c r="F676" s="593" t="s">
        <v>287</v>
      </c>
      <c r="G676" s="729"/>
      <c r="H676" s="731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85"/>
      <c r="C677" s="585"/>
      <c r="D677" s="585"/>
      <c r="E677" s="593"/>
      <c r="F677" s="593" t="s">
        <v>288</v>
      </c>
      <c r="G677" s="729"/>
      <c r="H677" s="731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85"/>
      <c r="C678" s="585"/>
      <c r="D678" s="585" t="s">
        <v>289</v>
      </c>
      <c r="E678" s="593"/>
      <c r="F678" s="593"/>
      <c r="G678" s="729"/>
      <c r="H678" s="731" t="s">
        <v>46</v>
      </c>
      <c r="I678" s="648">
        <f ca="1">IFERROR(__xludf.DUMMYFUNCTION("IMPORTRANGE(""https://docs.google.com/spreadsheets/d/1QqKyyYR6Q21VydFLVH3TRQUabQu_ym0Zz7PgGX0-kHA/edit?usp=sharing"",""แผน!IB21"")"),0)</f>
        <v>0</v>
      </c>
      <c r="J678" s="64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85"/>
      <c r="C679" s="585"/>
      <c r="D679" s="585"/>
      <c r="E679" s="593" t="s">
        <v>290</v>
      </c>
      <c r="F679" s="593"/>
      <c r="G679" s="729"/>
      <c r="H679" s="731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85"/>
      <c r="C680" s="585"/>
      <c r="D680" s="585"/>
      <c r="E680" s="593"/>
      <c r="F680" s="593" t="s">
        <v>287</v>
      </c>
      <c r="G680" s="729"/>
      <c r="H680" s="731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85"/>
      <c r="C681" s="585"/>
      <c r="D681" s="585"/>
      <c r="E681" s="593"/>
      <c r="F681" s="593" t="s">
        <v>288</v>
      </c>
      <c r="G681" s="729"/>
      <c r="H681" s="731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85"/>
      <c r="C682" s="585"/>
      <c r="D682" s="585"/>
      <c r="E682" s="593" t="s">
        <v>291</v>
      </c>
      <c r="F682" s="593"/>
      <c r="G682" s="729"/>
      <c r="H682" s="731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85"/>
      <c r="C683" s="585"/>
      <c r="D683" s="585"/>
      <c r="E683" s="593"/>
      <c r="F683" s="593" t="s">
        <v>292</v>
      </c>
      <c r="G683" s="729"/>
      <c r="H683" s="731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20"/>
      <c r="B684" s="721" t="s">
        <v>293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730"/>
      <c r="C685" s="730" t="s">
        <v>16</v>
      </c>
      <c r="D685" s="929" t="s">
        <v>17</v>
      </c>
      <c r="E685" s="923"/>
      <c r="F685" s="923"/>
      <c r="G685" s="189"/>
      <c r="H685" s="563" t="s">
        <v>12</v>
      </c>
      <c r="I685" s="270"/>
      <c r="J685" s="270"/>
      <c r="K685" s="466"/>
      <c r="L685" s="195">
        <f t="shared" ref="L685:N685" ca="1" si="282">L686+L687</f>
        <v>15760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726"/>
      <c r="C686" s="726"/>
      <c r="D686" s="687"/>
      <c r="E686" s="726" t="s">
        <v>184</v>
      </c>
      <c r="F686" s="726"/>
      <c r="G686" s="568"/>
      <c r="H686" s="165" t="s">
        <v>12</v>
      </c>
      <c r="I686" s="584"/>
      <c r="J686" s="584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2"/>
      <c r="C687" s="726"/>
      <c r="D687" s="687"/>
      <c r="E687" s="726" t="s">
        <v>185</v>
      </c>
      <c r="F687" s="726"/>
      <c r="G687" s="568"/>
      <c r="H687" s="165" t="s">
        <v>12</v>
      </c>
      <c r="I687" s="584"/>
      <c r="J687" s="584"/>
      <c r="K687" s="93"/>
      <c r="L687" s="93">
        <f t="shared" ca="1" si="285"/>
        <v>15760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730"/>
      <c r="D688" s="571" t="s">
        <v>20</v>
      </c>
      <c r="E688" s="730"/>
      <c r="F688" s="730"/>
      <c r="G688" s="189"/>
      <c r="H688" s="779" t="s">
        <v>12</v>
      </c>
      <c r="I688" s="184"/>
      <c r="J688" s="184"/>
      <c r="K688" s="163"/>
      <c r="L688" s="466">
        <f t="shared" ref="L688:N688" ca="1" si="286">L689+L690</f>
        <v>15760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2"/>
      <c r="C689" s="726"/>
      <c r="D689" s="687"/>
      <c r="E689" s="726" t="s">
        <v>184</v>
      </c>
      <c r="F689" s="726"/>
      <c r="G689" s="568"/>
      <c r="H689" s="165" t="s">
        <v>12</v>
      </c>
      <c r="I689" s="584"/>
      <c r="J689" s="584"/>
      <c r="K689" s="93"/>
      <c r="L689" s="93">
        <v>0</v>
      </c>
      <c r="M689" s="93">
        <v>0</v>
      </c>
      <c r="N689" s="93">
        <v>0</v>
      </c>
      <c r="O689" s="93"/>
      <c r="P689" s="93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2"/>
      <c r="C690" s="726"/>
      <c r="D690" s="687"/>
      <c r="E690" s="726" t="s">
        <v>185</v>
      </c>
      <c r="F690" s="726"/>
      <c r="G690" s="568"/>
      <c r="H690" s="165" t="s">
        <v>12</v>
      </c>
      <c r="I690" s="584"/>
      <c r="J690" s="584"/>
      <c r="K690" s="93"/>
      <c r="L690" s="93">
        <f ca="1">IFERROR(__xludf.DUMMYFUNCTION("IMPORTRANGE(""https://docs.google.com/spreadsheets/d/1QqKyyYR6Q21VydFLVH3TRQUabQu_ym0Zz7PgGX0-kHA/edit?usp=sharing"",""แผน!HW21"")"),15760)</f>
        <v>15760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730"/>
      <c r="D691" s="730"/>
      <c r="E691" s="730"/>
      <c r="F691" s="730" t="s">
        <v>186</v>
      </c>
      <c r="G691" s="189"/>
      <c r="H691" s="779" t="s">
        <v>12</v>
      </c>
      <c r="I691" s="270"/>
      <c r="J691" s="270"/>
      <c r="K691" s="466"/>
      <c r="L691" s="466"/>
      <c r="M691" s="466"/>
      <c r="N691" s="801">
        <v>0</v>
      </c>
      <c r="O691" s="466"/>
      <c r="P691" s="466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730"/>
      <c r="D692" s="730"/>
      <c r="E692" s="730"/>
      <c r="F692" s="730" t="s">
        <v>187</v>
      </c>
      <c r="G692" s="189"/>
      <c r="H692" s="779" t="s">
        <v>12</v>
      </c>
      <c r="I692" s="270"/>
      <c r="J692" s="270"/>
      <c r="K692" s="466"/>
      <c r="L692" s="466"/>
      <c r="M692" s="466"/>
      <c r="N692" s="801">
        <v>0</v>
      </c>
      <c r="O692" s="466"/>
      <c r="P692" s="466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730"/>
      <c r="D693" s="730"/>
      <c r="E693" s="730"/>
      <c r="F693" s="730" t="s">
        <v>188</v>
      </c>
      <c r="G693" s="189"/>
      <c r="H693" s="779" t="s">
        <v>12</v>
      </c>
      <c r="I693" s="270"/>
      <c r="J693" s="270"/>
      <c r="K693" s="466"/>
      <c r="L693" s="466"/>
      <c r="M693" s="466"/>
      <c r="N693" s="801">
        <v>0</v>
      </c>
      <c r="O693" s="466"/>
      <c r="P693" s="466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730"/>
      <c r="D694" s="730"/>
      <c r="E694" s="730"/>
      <c r="F694" s="730" t="s">
        <v>189</v>
      </c>
      <c r="G694" s="189"/>
      <c r="H694" s="779" t="s">
        <v>12</v>
      </c>
      <c r="I694" s="270"/>
      <c r="J694" s="270"/>
      <c r="K694" s="466"/>
      <c r="L694" s="466"/>
      <c r="M694" s="466"/>
      <c r="N694" s="801">
        <v>0</v>
      </c>
      <c r="O694" s="466"/>
      <c r="P694" s="466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730"/>
      <c r="D695" s="571" t="s">
        <v>21</v>
      </c>
      <c r="E695" s="730"/>
      <c r="F695" s="730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2"/>
      <c r="C696" s="726"/>
      <c r="D696" s="726"/>
      <c r="E696" s="726" t="s">
        <v>18</v>
      </c>
      <c r="F696" s="726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2"/>
      <c r="C697" s="726"/>
      <c r="D697" s="726"/>
      <c r="E697" s="726" t="s">
        <v>19</v>
      </c>
      <c r="F697" s="726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85"/>
      <c r="C698" s="730" t="s">
        <v>16</v>
      </c>
      <c r="D698" s="851" t="s">
        <v>38</v>
      </c>
      <c r="E698" s="728"/>
      <c r="F698" s="728"/>
      <c r="G698" s="578"/>
      <c r="H698" s="729"/>
      <c r="I698" s="184"/>
      <c r="J698" s="184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11"/>
      <c r="B699" s="730"/>
      <c r="C699" s="730"/>
      <c r="D699" s="730" t="s">
        <v>294</v>
      </c>
      <c r="E699" s="730"/>
      <c r="F699" s="730"/>
      <c r="G699" s="189"/>
      <c r="H699" s="731" t="s">
        <v>46</v>
      </c>
      <c r="I699" s="732">
        <f ca="1">IFERROR(__xludf.DUMMYFUNCTION("IMPORTRANGE(""https://docs.google.com/spreadsheets/d/1QqKyyYR6Q21VydFLVH3TRQUabQu_ym0Zz7PgGX0-kHA/edit?usp=sharing"",""แผน!IC21"")"),50)</f>
        <v>50</v>
      </c>
      <c r="J699" s="270">
        <f ca="1">IFERROR(__xludf.DUMMYFUNCTION("IMPORTRANGE(""https://docs.google.com/spreadsheets/d/1XWAQStnk-4SwqDmLtmXYiTMKHgktTP8We1SCoS47DrQ/edit?usp=sharing"",""จัดที่ดิน!BB21"")"),0)</f>
        <v>0</v>
      </c>
      <c r="K699" s="466">
        <f t="shared" ref="K699:K701" ca="1" si="290">IF(I699&gt;0,J699*100/I699,0)</f>
        <v>0</v>
      </c>
      <c r="L699" s="466"/>
      <c r="M699" s="189"/>
      <c r="N699" s="733"/>
      <c r="O699" s="466"/>
      <c r="P699" s="466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11"/>
      <c r="B700" s="730"/>
      <c r="C700" s="730"/>
      <c r="D700" s="730" t="s">
        <v>295</v>
      </c>
      <c r="E700" s="730"/>
      <c r="F700" s="730"/>
      <c r="G700" s="189"/>
      <c r="H700" s="731" t="s">
        <v>35</v>
      </c>
      <c r="I700" s="732">
        <f ca="1">IFERROR(__xludf.DUMMYFUNCTION("IMPORTRANGE(""https://docs.google.com/spreadsheets/d/1QqKyyYR6Q21VydFLVH3TRQUabQu_ym0Zz7PgGX0-kHA/edit?usp=sharing"",""แผน!ID21"")"),0)</f>
        <v>0</v>
      </c>
      <c r="J700" s="270">
        <f ca="1">IFERROR(__xludf.DUMMYFUNCTION("IMPORTRANGE(""https://docs.google.com/spreadsheets/d/1XWAQStnk-4SwqDmLtmXYiTMKHgktTP8We1SCoS47DrQ/edit?usp=sharing"",""จัดที่ดิน!BD21"")"),0)</f>
        <v>0</v>
      </c>
      <c r="K700" s="466">
        <f t="shared" ca="1" si="290"/>
        <v>0</v>
      </c>
      <c r="L700" s="466"/>
      <c r="M700" s="189"/>
      <c r="N700" s="733"/>
      <c r="O700" s="466"/>
      <c r="P700" s="466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11"/>
      <c r="B701" s="730"/>
      <c r="C701" s="730"/>
      <c r="D701" s="730" t="s">
        <v>296</v>
      </c>
      <c r="E701" s="730"/>
      <c r="F701" s="730"/>
      <c r="G701" s="189"/>
      <c r="H701" s="734" t="s">
        <v>46</v>
      </c>
      <c r="I701" s="735">
        <f ca="1">IFERROR(__xludf.DUMMYFUNCTION("IMPORTRANGE(""https://docs.google.com/spreadsheets/d/1QqKyyYR6Q21VydFLVH3TRQUabQu_ym0Zz7PgGX0-kHA/edit?usp=sharing"",""แผน!IE21"")"),120)</f>
        <v>120</v>
      </c>
      <c r="J701" s="648">
        <f>J704+J707</f>
        <v>15</v>
      </c>
      <c r="K701" s="195">
        <f t="shared" ca="1" si="290"/>
        <v>12.5</v>
      </c>
      <c r="L701" s="466"/>
      <c r="M701" s="189"/>
      <c r="N701" s="733"/>
      <c r="O701" s="466"/>
      <c r="P701" s="466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11"/>
      <c r="B702" s="730"/>
      <c r="C702" s="730"/>
      <c r="D702" s="730"/>
      <c r="E702" s="730" t="s">
        <v>297</v>
      </c>
      <c r="F702" s="730"/>
      <c r="G702" s="189"/>
      <c r="H702" s="731" t="s">
        <v>35</v>
      </c>
      <c r="I702" s="732"/>
      <c r="J702" s="215">
        <v>0</v>
      </c>
      <c r="K702" s="466"/>
      <c r="L702" s="466"/>
      <c r="M702" s="189"/>
      <c r="N702" s="733"/>
      <c r="O702" s="466"/>
      <c r="P702" s="466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11"/>
      <c r="B703" s="730"/>
      <c r="C703" s="730"/>
      <c r="D703" s="730"/>
      <c r="E703" s="730"/>
      <c r="F703" s="730"/>
      <c r="G703" s="189"/>
      <c r="H703" s="731" t="s">
        <v>34</v>
      </c>
      <c r="I703" s="732"/>
      <c r="J703" s="215">
        <v>0</v>
      </c>
      <c r="K703" s="466"/>
      <c r="L703" s="466"/>
      <c r="M703" s="189"/>
      <c r="N703" s="733"/>
      <c r="O703" s="466"/>
      <c r="P703" s="466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11"/>
      <c r="B704" s="730"/>
      <c r="C704" s="730"/>
      <c r="D704" s="730"/>
      <c r="E704" s="730"/>
      <c r="F704" s="730"/>
      <c r="G704" s="189"/>
      <c r="H704" s="731" t="s">
        <v>46</v>
      </c>
      <c r="I704" s="732">
        <f ca="1">IFERROR(__xludf.DUMMYFUNCTION("IMPORTRANGE(""https://docs.google.com/spreadsheets/d/1QqKyyYR6Q21VydFLVH3TRQUabQu_ym0Zz7PgGX0-kHA/edit?usp=sharing"",""แผน!IF21"")"),60)</f>
        <v>60</v>
      </c>
      <c r="J704" s="215">
        <v>0</v>
      </c>
      <c r="K704" s="466"/>
      <c r="L704" s="466"/>
      <c r="M704" s="189"/>
      <c r="N704" s="733"/>
      <c r="O704" s="466"/>
      <c r="P704" s="466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11"/>
      <c r="B705" s="730"/>
      <c r="C705" s="730"/>
      <c r="D705" s="730"/>
      <c r="E705" s="730" t="s">
        <v>298</v>
      </c>
      <c r="F705" s="730"/>
      <c r="G705" s="189"/>
      <c r="H705" s="731" t="s">
        <v>35</v>
      </c>
      <c r="I705" s="732"/>
      <c r="J705" s="215">
        <v>1</v>
      </c>
      <c r="K705" s="466"/>
      <c r="L705" s="466"/>
      <c r="M705" s="189"/>
      <c r="N705" s="733"/>
      <c r="O705" s="466"/>
      <c r="P705" s="466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11"/>
      <c r="B706" s="730"/>
      <c r="C706" s="730"/>
      <c r="D706" s="730"/>
      <c r="E706" s="730"/>
      <c r="F706" s="730"/>
      <c r="G706" s="189"/>
      <c r="H706" s="731" t="s">
        <v>34</v>
      </c>
      <c r="I706" s="732"/>
      <c r="J706" s="215">
        <v>1</v>
      </c>
      <c r="K706" s="466"/>
      <c r="L706" s="466"/>
      <c r="M706" s="189"/>
      <c r="N706" s="733"/>
      <c r="O706" s="466"/>
      <c r="P706" s="466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11"/>
      <c r="B707" s="730"/>
      <c r="C707" s="730"/>
      <c r="D707" s="730"/>
      <c r="E707" s="730"/>
      <c r="F707" s="730"/>
      <c r="G707" s="189"/>
      <c r="H707" s="731" t="s">
        <v>46</v>
      </c>
      <c r="I707" s="732">
        <f ca="1">IFERROR(__xludf.DUMMYFUNCTION("IMPORTRANGE(""https://docs.google.com/spreadsheets/d/1QqKyyYR6Q21VydFLVH3TRQUabQu_ym0Zz7PgGX0-kHA/edit?usp=sharing"",""แผน!IG21"")"),60)</f>
        <v>60</v>
      </c>
      <c r="J707" s="215">
        <v>15</v>
      </c>
      <c r="K707" s="466"/>
      <c r="L707" s="466"/>
      <c r="M707" s="189"/>
      <c r="N707" s="733"/>
      <c r="O707" s="466"/>
      <c r="P707" s="466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11"/>
      <c r="B708" s="730"/>
      <c r="C708" s="730"/>
      <c r="D708" s="736" t="s">
        <v>299</v>
      </c>
      <c r="E708" s="730"/>
      <c r="F708" s="730"/>
      <c r="G708" s="189"/>
      <c r="H708" s="734" t="s">
        <v>46</v>
      </c>
      <c r="I708" s="735">
        <f ca="1">IFERROR(__xludf.DUMMYFUNCTION("IMPORTRANGE(""https://docs.google.com/spreadsheets/d/1QqKyyYR6Q21VydFLVH3TRQUabQu_ym0Zz7PgGX0-kHA/edit?usp=sharing"",""แผน!IH21"")"),0)</f>
        <v>0</v>
      </c>
      <c r="J708" s="648">
        <f>J714+J717</f>
        <v>0</v>
      </c>
      <c r="K708" s="195">
        <f ca="1">IF(I708&gt;0,J708*100/I708,0)</f>
        <v>0</v>
      </c>
      <c r="L708" s="466"/>
      <c r="M708" s="189"/>
      <c r="N708" s="733"/>
      <c r="O708" s="466"/>
      <c r="P708" s="466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11"/>
      <c r="B709" s="730"/>
      <c r="C709" s="730"/>
      <c r="D709" s="730"/>
      <c r="E709" s="730" t="s">
        <v>300</v>
      </c>
      <c r="F709" s="730"/>
      <c r="G709" s="189"/>
      <c r="H709" s="731" t="s">
        <v>34</v>
      </c>
      <c r="I709" s="732"/>
      <c r="J709" s="215">
        <v>0</v>
      </c>
      <c r="K709" s="466"/>
      <c r="L709" s="733"/>
      <c r="M709" s="189"/>
      <c r="N709" s="733"/>
      <c r="O709" s="466"/>
      <c r="P709" s="466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11"/>
      <c r="B710" s="730"/>
      <c r="C710" s="730"/>
      <c r="D710" s="730"/>
      <c r="E710" s="730"/>
      <c r="F710" s="730"/>
      <c r="G710" s="189"/>
      <c r="H710" s="731" t="s">
        <v>46</v>
      </c>
      <c r="I710" s="732"/>
      <c r="J710" s="215">
        <v>0</v>
      </c>
      <c r="K710" s="466"/>
      <c r="L710" s="733"/>
      <c r="M710" s="189"/>
      <c r="N710" s="733"/>
      <c r="O710" s="466"/>
      <c r="P710" s="466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11"/>
      <c r="B711" s="730"/>
      <c r="C711" s="730"/>
      <c r="D711" s="730"/>
      <c r="E711" s="730" t="s">
        <v>301</v>
      </c>
      <c r="F711" s="730"/>
      <c r="G711" s="189"/>
      <c r="H711" s="729"/>
      <c r="I711" s="732"/>
      <c r="J711" s="270"/>
      <c r="K711" s="466"/>
      <c r="L711" s="733"/>
      <c r="M711" s="189"/>
      <c r="N711" s="733"/>
      <c r="O711" s="466"/>
      <c r="P711" s="466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11"/>
      <c r="B712" s="730"/>
      <c r="C712" s="730"/>
      <c r="D712" s="730"/>
      <c r="E712" s="730"/>
      <c r="F712" s="730" t="s">
        <v>302</v>
      </c>
      <c r="G712" s="189"/>
      <c r="H712" s="731" t="s">
        <v>35</v>
      </c>
      <c r="I712" s="732"/>
      <c r="J712" s="215">
        <v>0</v>
      </c>
      <c r="K712" s="466"/>
      <c r="L712" s="733"/>
      <c r="M712" s="189"/>
      <c r="N712" s="733"/>
      <c r="O712" s="466"/>
      <c r="P712" s="466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11"/>
      <c r="B713" s="730"/>
      <c r="C713" s="730"/>
      <c r="D713" s="730"/>
      <c r="E713" s="730"/>
      <c r="F713" s="730"/>
      <c r="G713" s="189"/>
      <c r="H713" s="731" t="s">
        <v>34</v>
      </c>
      <c r="I713" s="732"/>
      <c r="J713" s="215">
        <v>0</v>
      </c>
      <c r="K713" s="466"/>
      <c r="L713" s="733"/>
      <c r="M713" s="189"/>
      <c r="N713" s="733"/>
      <c r="O713" s="466"/>
      <c r="P713" s="466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11"/>
      <c r="B714" s="730"/>
      <c r="C714" s="730"/>
      <c r="D714" s="730"/>
      <c r="E714" s="730"/>
      <c r="F714" s="730"/>
      <c r="G714" s="189"/>
      <c r="H714" s="731" t="s">
        <v>46</v>
      </c>
      <c r="I714" s="732"/>
      <c r="J714" s="215">
        <v>0</v>
      </c>
      <c r="K714" s="466"/>
      <c r="L714" s="733"/>
      <c r="M714" s="189"/>
      <c r="N714" s="733"/>
      <c r="O714" s="466"/>
      <c r="P714" s="466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11"/>
      <c r="B715" s="730"/>
      <c r="C715" s="730"/>
      <c r="D715" s="730"/>
      <c r="E715" s="730"/>
      <c r="F715" s="730" t="s">
        <v>303</v>
      </c>
      <c r="G715" s="189"/>
      <c r="H715" s="731" t="s">
        <v>35</v>
      </c>
      <c r="I715" s="732"/>
      <c r="J715" s="215">
        <v>0</v>
      </c>
      <c r="K715" s="466"/>
      <c r="L715" s="733"/>
      <c r="M715" s="189"/>
      <c r="N715" s="733"/>
      <c r="O715" s="466"/>
      <c r="P715" s="466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11"/>
      <c r="B716" s="730"/>
      <c r="C716" s="730"/>
      <c r="D716" s="730"/>
      <c r="E716" s="730"/>
      <c r="F716" s="730"/>
      <c r="G716" s="189"/>
      <c r="H716" s="731" t="s">
        <v>34</v>
      </c>
      <c r="I716" s="732"/>
      <c r="J716" s="215">
        <v>0</v>
      </c>
      <c r="K716" s="466"/>
      <c r="L716" s="733"/>
      <c r="M716" s="189"/>
      <c r="N716" s="733"/>
      <c r="O716" s="466"/>
      <c r="P716" s="466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11"/>
      <c r="B717" s="730"/>
      <c r="C717" s="730"/>
      <c r="D717" s="730"/>
      <c r="E717" s="730"/>
      <c r="F717" s="730"/>
      <c r="G717" s="189"/>
      <c r="H717" s="731" t="s">
        <v>46</v>
      </c>
      <c r="I717" s="732"/>
      <c r="J717" s="215">
        <v>0</v>
      </c>
      <c r="K717" s="466"/>
      <c r="L717" s="733"/>
      <c r="M717" s="189"/>
      <c r="N717" s="733"/>
      <c r="O717" s="466"/>
      <c r="P717" s="466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11"/>
      <c r="B718" s="730"/>
      <c r="C718" s="730"/>
      <c r="D718" s="730" t="s">
        <v>304</v>
      </c>
      <c r="E718" s="730"/>
      <c r="F718" s="730"/>
      <c r="G718" s="189"/>
      <c r="H718" s="731" t="s">
        <v>35</v>
      </c>
      <c r="I718" s="732"/>
      <c r="J718" s="270">
        <f ca="1">IFERROR(__xludf.DUMMYFUNCTION("IMPORTRANGE(""https://docs.google.com/spreadsheets/d/1XWAQStnk-4SwqDmLtmXYiTMKHgktTP8We1SCoS47DrQ/edit?usp=sharing"",""จัดที่ดิน!BF21"")"),0)</f>
        <v>0</v>
      </c>
      <c r="K718" s="466"/>
      <c r="L718" s="466"/>
      <c r="M718" s="189"/>
      <c r="N718" s="733"/>
      <c r="O718" s="466"/>
      <c r="P718" s="466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11"/>
      <c r="B719" s="730"/>
      <c r="C719" s="730"/>
      <c r="D719" s="730"/>
      <c r="E719" s="730"/>
      <c r="F719" s="730"/>
      <c r="G719" s="189"/>
      <c r="H719" s="731" t="s">
        <v>34</v>
      </c>
      <c r="I719" s="732"/>
      <c r="J719" s="270">
        <f ca="1">IFERROR(__xludf.DUMMYFUNCTION("IMPORTRANGE(""https://docs.google.com/spreadsheets/d/1XWAQStnk-4SwqDmLtmXYiTMKHgktTP8We1SCoS47DrQ/edit?usp=sharing"",""จัดที่ดิน!BG21"")"),0)</f>
        <v>0</v>
      </c>
      <c r="K719" s="466"/>
      <c r="L719" s="733"/>
      <c r="M719" s="189"/>
      <c r="N719" s="733"/>
      <c r="O719" s="466"/>
      <c r="P719" s="466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11"/>
      <c r="B720" s="730"/>
      <c r="C720" s="730"/>
      <c r="D720" s="730"/>
      <c r="E720" s="730"/>
      <c r="F720" s="730"/>
      <c r="G720" s="189"/>
      <c r="H720" s="731" t="s">
        <v>46</v>
      </c>
      <c r="I720" s="732">
        <f ca="1">IFERROR(__xludf.DUMMYFUNCTION("IMPORTRANGE(""https://docs.google.com/spreadsheets/d/1QqKyyYR6Q21VydFLVH3TRQUabQu_ym0Zz7PgGX0-kHA/edit?usp=sharing"",""แผน!II21"")"),80)</f>
        <v>80</v>
      </c>
      <c r="J720" s="270">
        <f ca="1">IFERROR(__xludf.DUMMYFUNCTION("IMPORTRANGE(""https://docs.google.com/spreadsheets/d/1XWAQStnk-4SwqDmLtmXYiTMKHgktTP8We1SCoS47DrQ/edit?usp=sharing"",""จัดที่ดิน!BH21"")"),0)</f>
        <v>0</v>
      </c>
      <c r="K720" s="466">
        <f t="shared" ref="K720:K723" ca="1" si="291">IF(I720&gt;0,J720*100/I720,0)</f>
        <v>0</v>
      </c>
      <c r="L720" s="733"/>
      <c r="M720" s="189"/>
      <c r="N720" s="733"/>
      <c r="O720" s="466"/>
      <c r="P720" s="466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11"/>
      <c r="B721" s="730"/>
      <c r="C721" s="730"/>
      <c r="D721" s="730" t="s">
        <v>305</v>
      </c>
      <c r="E721" s="730"/>
      <c r="F721" s="730"/>
      <c r="G721" s="189"/>
      <c r="H721" s="734" t="s">
        <v>35</v>
      </c>
      <c r="I721" s="735">
        <f ca="1">IFERROR(__xludf.DUMMYFUNCTION("IMPORTRANGE(""https://docs.google.com/spreadsheets/d/1QqKyyYR6Q21VydFLVH3TRQUabQu_ym0Zz7PgGX0-kHA/edit?usp=sharing"",""แผน!IJ21"")"),8)</f>
        <v>8</v>
      </c>
      <c r="J721" s="648">
        <f ca="1">J723+J726</f>
        <v>0</v>
      </c>
      <c r="K721" s="195">
        <f t="shared" ca="1" si="291"/>
        <v>0</v>
      </c>
      <c r="L721" s="733"/>
      <c r="M721" s="189"/>
      <c r="N721" s="733"/>
      <c r="O721" s="466"/>
      <c r="P721" s="466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11"/>
      <c r="B722" s="730"/>
      <c r="C722" s="730"/>
      <c r="D722" s="730"/>
      <c r="E722" s="730"/>
      <c r="F722" s="730"/>
      <c r="G722" s="189"/>
      <c r="H722" s="734" t="s">
        <v>46</v>
      </c>
      <c r="I722" s="735">
        <f ca="1">IFERROR(__xludf.DUMMYFUNCTION("IMPORTRANGE(""https://docs.google.com/spreadsheets/d/1QqKyyYR6Q21VydFLVH3TRQUabQu_ym0Zz7PgGX0-kHA/edit?usp=sharing"",""แผน!IK21"")"),80)</f>
        <v>80</v>
      </c>
      <c r="J722" s="648">
        <f ca="1">J725+J728</f>
        <v>0</v>
      </c>
      <c r="K722" s="195">
        <f t="shared" ca="1" si="291"/>
        <v>0</v>
      </c>
      <c r="L722" s="466"/>
      <c r="M722" s="189"/>
      <c r="N722" s="733"/>
      <c r="O722" s="466"/>
      <c r="P722" s="466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11"/>
      <c r="B723" s="730"/>
      <c r="C723" s="730"/>
      <c r="D723" s="730"/>
      <c r="E723" s="730" t="s">
        <v>306</v>
      </c>
      <c r="F723" s="730"/>
      <c r="G723" s="189"/>
      <c r="H723" s="731" t="s">
        <v>35</v>
      </c>
      <c r="I723" s="732">
        <f ca="1">IFERROR(__xludf.DUMMYFUNCTION("IMPORTRANGE(""https://docs.google.com/spreadsheets/d/1QqKyyYR6Q21VydFLVH3TRQUabQu_ym0Zz7PgGX0-kHA/edit?usp=sharing"",""แผน!IL21"")"),4)</f>
        <v>4</v>
      </c>
      <c r="J723" s="270">
        <f ca="1">IFERROR(__xludf.DUMMYFUNCTION("IMPORTRANGE(""https://docs.google.com/spreadsheets/d/1XWAQStnk-4SwqDmLtmXYiTMKHgktTP8We1SCoS47DrQ/edit?usp=sharing"",""จัดที่ดิน!BM21"")"),0)</f>
        <v>0</v>
      </c>
      <c r="K723" s="466">
        <f t="shared" ca="1" si="291"/>
        <v>0</v>
      </c>
      <c r="L723" s="466"/>
      <c r="M723" s="189"/>
      <c r="N723" s="733"/>
      <c r="O723" s="466"/>
      <c r="P723" s="466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11"/>
      <c r="B724" s="730"/>
      <c r="C724" s="730"/>
      <c r="D724" s="730"/>
      <c r="E724" s="730"/>
      <c r="F724" s="730"/>
      <c r="G724" s="189"/>
      <c r="H724" s="731" t="s">
        <v>34</v>
      </c>
      <c r="I724" s="732"/>
      <c r="J724" s="270">
        <f ca="1">IFERROR(__xludf.DUMMYFUNCTION("IMPORTRANGE(""https://docs.google.com/spreadsheets/d/1XWAQStnk-4SwqDmLtmXYiTMKHgktTP8We1SCoS47DrQ/edit?usp=sharing"",""จัดที่ดิน!BN21"")"),0)</f>
        <v>0</v>
      </c>
      <c r="K724" s="466"/>
      <c r="L724" s="733"/>
      <c r="M724" s="189"/>
      <c r="N724" s="733"/>
      <c r="O724" s="466"/>
      <c r="P724" s="466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11"/>
      <c r="B725" s="730"/>
      <c r="C725" s="730"/>
      <c r="D725" s="730"/>
      <c r="E725" s="730"/>
      <c r="F725" s="730"/>
      <c r="G725" s="189"/>
      <c r="H725" s="731" t="s">
        <v>46</v>
      </c>
      <c r="I725" s="732">
        <f ca="1">IFERROR(__xludf.DUMMYFUNCTION("IMPORTRANGE(""https://docs.google.com/spreadsheets/d/1QqKyyYR6Q21VydFLVH3TRQUabQu_ym0Zz7PgGX0-kHA/edit?usp=sharing"",""แผน!IM21"")"),40)</f>
        <v>40</v>
      </c>
      <c r="J725" s="270">
        <f ca="1">IFERROR(__xludf.DUMMYFUNCTION("IMPORTRANGE(""https://docs.google.com/spreadsheets/d/1XWAQStnk-4SwqDmLtmXYiTMKHgktTP8We1SCoS47DrQ/edit?usp=sharing"",""จัดที่ดิน!BO21"")"),0)</f>
        <v>0</v>
      </c>
      <c r="K725" s="466">
        <f t="shared" ref="K725:K726" ca="1" si="292">IF(I725&gt;0,J725*100/I725,0)</f>
        <v>0</v>
      </c>
      <c r="L725" s="733"/>
      <c r="M725" s="189"/>
      <c r="N725" s="733"/>
      <c r="O725" s="466"/>
      <c r="P725" s="466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11"/>
      <c r="B726" s="730"/>
      <c r="C726" s="730"/>
      <c r="D726" s="730"/>
      <c r="E726" s="730" t="s">
        <v>307</v>
      </c>
      <c r="F726" s="730"/>
      <c r="G726" s="189"/>
      <c r="H726" s="731" t="s">
        <v>35</v>
      </c>
      <c r="I726" s="732">
        <f ca="1">IFERROR(__xludf.DUMMYFUNCTION("IMPORTRANGE(""https://docs.google.com/spreadsheets/d/1QqKyyYR6Q21VydFLVH3TRQUabQu_ym0Zz7PgGX0-kHA/edit?usp=sharing"",""แผน!IN21"")"),4)</f>
        <v>4</v>
      </c>
      <c r="J726" s="270">
        <f ca="1">IFERROR(__xludf.DUMMYFUNCTION("IMPORTRANGE(""https://docs.google.com/spreadsheets/d/1XWAQStnk-4SwqDmLtmXYiTMKHgktTP8We1SCoS47DrQ/edit?usp=sharing"",""จัดที่ดิน!BR21"")"),0)</f>
        <v>0</v>
      </c>
      <c r="K726" s="466">
        <f t="shared" ca="1" si="292"/>
        <v>0</v>
      </c>
      <c r="L726" s="466"/>
      <c r="M726" s="189"/>
      <c r="N726" s="733"/>
      <c r="O726" s="466"/>
      <c r="P726" s="466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11"/>
      <c r="B727" s="730"/>
      <c r="C727" s="730"/>
      <c r="D727" s="730"/>
      <c r="E727" s="730"/>
      <c r="F727" s="730"/>
      <c r="G727" s="189"/>
      <c r="H727" s="731" t="s">
        <v>34</v>
      </c>
      <c r="I727" s="732"/>
      <c r="J727" s="270">
        <f ca="1">IFERROR(__xludf.DUMMYFUNCTION("IMPORTRANGE(""https://docs.google.com/spreadsheets/d/1XWAQStnk-4SwqDmLtmXYiTMKHgktTP8We1SCoS47DrQ/edit?usp=sharing"",""จัดที่ดิน!BS21"")"),0)</f>
        <v>0</v>
      </c>
      <c r="K727" s="466"/>
      <c r="L727" s="733"/>
      <c r="M727" s="189"/>
      <c r="N727" s="733"/>
      <c r="O727" s="466"/>
      <c r="P727" s="466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11"/>
      <c r="B728" s="730"/>
      <c r="C728" s="730"/>
      <c r="D728" s="730"/>
      <c r="E728" s="730"/>
      <c r="F728" s="730"/>
      <c r="G728" s="189"/>
      <c r="H728" s="731" t="s">
        <v>46</v>
      </c>
      <c r="I728" s="732">
        <f ca="1">IFERROR(__xludf.DUMMYFUNCTION("IMPORTRANGE(""https://docs.google.com/spreadsheets/d/1QqKyyYR6Q21VydFLVH3TRQUabQu_ym0Zz7PgGX0-kHA/edit?usp=sharing"",""แผน!IO21"")"),40)</f>
        <v>40</v>
      </c>
      <c r="J728" s="270">
        <f ca="1">IFERROR(__xludf.DUMMYFUNCTION("IMPORTRANGE(""https://docs.google.com/spreadsheets/d/1XWAQStnk-4SwqDmLtmXYiTMKHgktTP8We1SCoS47DrQ/edit?usp=sharing"",""จัดที่ดิน!BT21"")"),0)</f>
        <v>0</v>
      </c>
      <c r="K728" s="466">
        <f t="shared" ref="K728:K729" ca="1" si="293">IF(I728&gt;0,J728*100/I728,0)</f>
        <v>0</v>
      </c>
      <c r="L728" s="733"/>
      <c r="M728" s="189"/>
      <c r="N728" s="733"/>
      <c r="O728" s="466"/>
      <c r="P728" s="466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11"/>
      <c r="B729" s="730"/>
      <c r="C729" s="730"/>
      <c r="D729" s="730" t="s">
        <v>308</v>
      </c>
      <c r="E729" s="730"/>
      <c r="F729" s="730"/>
      <c r="G729" s="189"/>
      <c r="H729" s="734" t="s">
        <v>46</v>
      </c>
      <c r="I729" s="735">
        <f ca="1">IFERROR(__xludf.DUMMYFUNCTION("IMPORTRANGE(""https://docs.google.com/spreadsheets/d/1QqKyyYR6Q21VydFLVH3TRQUabQu_ym0Zz7PgGX0-kHA/edit?usp=sharing"",""แผน!IP21"")"),0)</f>
        <v>0</v>
      </c>
      <c r="J729" s="648">
        <f>J732+J735</f>
        <v>0</v>
      </c>
      <c r="K729" s="195">
        <f t="shared" ca="1" si="293"/>
        <v>0</v>
      </c>
      <c r="L729" s="466"/>
      <c r="M729" s="189"/>
      <c r="N729" s="733"/>
      <c r="O729" s="466"/>
      <c r="P729" s="466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11"/>
      <c r="B730" s="730"/>
      <c r="C730" s="730"/>
      <c r="D730" s="730"/>
      <c r="E730" s="730" t="s">
        <v>309</v>
      </c>
      <c r="F730" s="730"/>
      <c r="G730" s="189"/>
      <c r="H730" s="731" t="s">
        <v>35</v>
      </c>
      <c r="I730" s="732"/>
      <c r="J730" s="215">
        <v>0</v>
      </c>
      <c r="K730" s="466"/>
      <c r="L730" s="733"/>
      <c r="M730" s="466"/>
      <c r="N730" s="733"/>
      <c r="O730" s="466"/>
      <c r="P730" s="466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11"/>
      <c r="B731" s="730"/>
      <c r="C731" s="730"/>
      <c r="D731" s="730"/>
      <c r="E731" s="730"/>
      <c r="F731" s="730"/>
      <c r="G731" s="189"/>
      <c r="H731" s="731" t="s">
        <v>34</v>
      </c>
      <c r="I731" s="732"/>
      <c r="J731" s="215">
        <v>0</v>
      </c>
      <c r="K731" s="466"/>
      <c r="L731" s="733"/>
      <c r="M731" s="466"/>
      <c r="N731" s="733"/>
      <c r="O731" s="466"/>
      <c r="P731" s="466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11"/>
      <c r="B732" s="730"/>
      <c r="C732" s="730"/>
      <c r="D732" s="730"/>
      <c r="E732" s="730"/>
      <c r="F732" s="730"/>
      <c r="G732" s="189"/>
      <c r="H732" s="731" t="s">
        <v>46</v>
      </c>
      <c r="I732" s="732"/>
      <c r="J732" s="215">
        <v>0</v>
      </c>
      <c r="K732" s="466"/>
      <c r="L732" s="733"/>
      <c r="M732" s="466"/>
      <c r="N732" s="733"/>
      <c r="O732" s="466"/>
      <c r="P732" s="466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11"/>
      <c r="B733" s="730"/>
      <c r="C733" s="730"/>
      <c r="D733" s="730"/>
      <c r="E733" s="730" t="s">
        <v>310</v>
      </c>
      <c r="F733" s="730"/>
      <c r="G733" s="189"/>
      <c r="H733" s="731" t="s">
        <v>35</v>
      </c>
      <c r="I733" s="732"/>
      <c r="J733" s="215">
        <v>0</v>
      </c>
      <c r="K733" s="466"/>
      <c r="L733" s="733"/>
      <c r="M733" s="466"/>
      <c r="N733" s="733"/>
      <c r="O733" s="466"/>
      <c r="P733" s="466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11"/>
      <c r="B734" s="730"/>
      <c r="C734" s="730"/>
      <c r="D734" s="730"/>
      <c r="E734" s="730"/>
      <c r="F734" s="730"/>
      <c r="G734" s="189"/>
      <c r="H734" s="731" t="s">
        <v>34</v>
      </c>
      <c r="I734" s="732"/>
      <c r="J734" s="215">
        <v>0</v>
      </c>
      <c r="K734" s="466"/>
      <c r="L734" s="733"/>
      <c r="M734" s="466"/>
      <c r="N734" s="733"/>
      <c r="O734" s="466"/>
      <c r="P734" s="466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7"/>
      <c r="B735" s="738" t="s">
        <v>311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v>0</v>
      </c>
      <c r="K735" s="470"/>
      <c r="L735" s="740"/>
      <c r="M735" s="470"/>
      <c r="N735" s="740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1">
        <v>9</v>
      </c>
      <c r="B736" s="742" t="s">
        <v>312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726"/>
      <c r="C737" s="726" t="s">
        <v>16</v>
      </c>
      <c r="D737" s="930" t="s">
        <v>17</v>
      </c>
      <c r="E737" s="923"/>
      <c r="F737" s="923"/>
      <c r="G737" s="568"/>
      <c r="H737" s="613" t="s">
        <v>12</v>
      </c>
      <c r="I737" s="584"/>
      <c r="J737" s="584"/>
      <c r="K737" s="93"/>
      <c r="L737" s="614">
        <f t="shared" ref="L737:N737" si="294">L738+L739</f>
        <v>0</v>
      </c>
      <c r="M737" s="614">
        <f t="shared" si="294"/>
        <v>0</v>
      </c>
      <c r="N737" s="614">
        <f t="shared" si="294"/>
        <v>0</v>
      </c>
      <c r="O737" s="614">
        <f t="shared" ref="O737:O742" si="295">IF(L737&gt;0,N737*100/L737,0)</f>
        <v>0</v>
      </c>
      <c r="P737" s="614">
        <f t="shared" ref="P737:P742" si="296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726"/>
      <c r="C738" s="726"/>
      <c r="D738" s="687"/>
      <c r="E738" s="726" t="s">
        <v>184</v>
      </c>
      <c r="F738" s="726"/>
      <c r="G738" s="568"/>
      <c r="H738" s="165" t="s">
        <v>12</v>
      </c>
      <c r="I738" s="584"/>
      <c r="J738" s="584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2"/>
      <c r="C739" s="726"/>
      <c r="D739" s="687"/>
      <c r="E739" s="726" t="s">
        <v>185</v>
      </c>
      <c r="F739" s="726"/>
      <c r="G739" s="568"/>
      <c r="H739" s="165" t="s">
        <v>12</v>
      </c>
      <c r="I739" s="584"/>
      <c r="J739" s="584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2"/>
      <c r="C740" s="726"/>
      <c r="D740" s="805" t="s">
        <v>20</v>
      </c>
      <c r="E740" s="726"/>
      <c r="F740" s="726"/>
      <c r="G740" s="568"/>
      <c r="H740" s="613" t="s">
        <v>12</v>
      </c>
      <c r="I740" s="166"/>
      <c r="J740" s="166"/>
      <c r="K740" s="167"/>
      <c r="L740" s="614">
        <f t="shared" ref="L740:N740" si="298">L741+L742</f>
        <v>0</v>
      </c>
      <c r="M740" s="614">
        <f t="shared" si="298"/>
        <v>0</v>
      </c>
      <c r="N740" s="614">
        <f t="shared" si="298"/>
        <v>0</v>
      </c>
      <c r="O740" s="614">
        <f t="shared" si="295"/>
        <v>0</v>
      </c>
      <c r="P740" s="614">
        <f t="shared" si="296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2"/>
      <c r="C741" s="726"/>
      <c r="D741" s="687"/>
      <c r="E741" s="726" t="s">
        <v>184</v>
      </c>
      <c r="F741" s="726"/>
      <c r="G741" s="568"/>
      <c r="H741" s="165" t="s">
        <v>12</v>
      </c>
      <c r="I741" s="584"/>
      <c r="J741" s="584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2"/>
      <c r="C742" s="726"/>
      <c r="D742" s="687"/>
      <c r="E742" s="726" t="s">
        <v>185</v>
      </c>
      <c r="F742" s="726"/>
      <c r="G742" s="568"/>
      <c r="H742" s="165" t="s">
        <v>12</v>
      </c>
      <c r="I742" s="584"/>
      <c r="J742" s="584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6"/>
      <c r="B743" s="572"/>
      <c r="C743" s="726"/>
      <c r="D743" s="726"/>
      <c r="E743" s="726"/>
      <c r="F743" s="726" t="s">
        <v>186</v>
      </c>
      <c r="G743" s="568"/>
      <c r="H743" s="165" t="s">
        <v>12</v>
      </c>
      <c r="I743" s="584"/>
      <c r="J743" s="584"/>
      <c r="K743" s="93"/>
      <c r="L743" s="93"/>
      <c r="M743" s="93"/>
      <c r="N743" s="93"/>
      <c r="O743" s="93"/>
      <c r="P743" s="93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6"/>
      <c r="B744" s="572"/>
      <c r="C744" s="726"/>
      <c r="D744" s="726"/>
      <c r="E744" s="726"/>
      <c r="F744" s="726" t="s">
        <v>187</v>
      </c>
      <c r="G744" s="568"/>
      <c r="H744" s="165" t="s">
        <v>12</v>
      </c>
      <c r="I744" s="584"/>
      <c r="J744" s="584"/>
      <c r="K744" s="93"/>
      <c r="L744" s="93"/>
      <c r="M744" s="93"/>
      <c r="N744" s="93"/>
      <c r="O744" s="93"/>
      <c r="P744" s="93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6"/>
      <c r="B745" s="572"/>
      <c r="C745" s="726"/>
      <c r="D745" s="726"/>
      <c r="E745" s="726"/>
      <c r="F745" s="726" t="s">
        <v>188</v>
      </c>
      <c r="G745" s="568"/>
      <c r="H745" s="165" t="s">
        <v>12</v>
      </c>
      <c r="I745" s="584"/>
      <c r="J745" s="584"/>
      <c r="K745" s="93"/>
      <c r="L745" s="93"/>
      <c r="M745" s="93"/>
      <c r="N745" s="93"/>
      <c r="O745" s="93"/>
      <c r="P745" s="93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6"/>
      <c r="B746" s="572"/>
      <c r="C746" s="726"/>
      <c r="D746" s="726"/>
      <c r="E746" s="726"/>
      <c r="F746" s="726" t="s">
        <v>189</v>
      </c>
      <c r="G746" s="568"/>
      <c r="H746" s="165" t="s">
        <v>12</v>
      </c>
      <c r="I746" s="584"/>
      <c r="J746" s="584"/>
      <c r="K746" s="93"/>
      <c r="L746" s="93"/>
      <c r="M746" s="93"/>
      <c r="N746" s="93"/>
      <c r="O746" s="93"/>
      <c r="P746" s="93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2"/>
      <c r="C747" s="726"/>
      <c r="D747" s="805" t="s">
        <v>21</v>
      </c>
      <c r="E747" s="726"/>
      <c r="F747" s="726"/>
      <c r="G747" s="568"/>
      <c r="H747" s="750" t="s">
        <v>12</v>
      </c>
      <c r="I747" s="166"/>
      <c r="J747" s="166"/>
      <c r="K747" s="167"/>
      <c r="L747" s="614">
        <f t="shared" ref="L747:N747" si="299">L748+L749</f>
        <v>0</v>
      </c>
      <c r="M747" s="614">
        <f t="shared" si="299"/>
        <v>0</v>
      </c>
      <c r="N747" s="614">
        <f t="shared" si="299"/>
        <v>0</v>
      </c>
      <c r="O747" s="614">
        <f t="shared" ref="O747:O749" si="300">IF(L747&gt;0,N747*100/L747,0)</f>
        <v>0</v>
      </c>
      <c r="P747" s="614">
        <f t="shared" ref="P747:P749" si="301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2"/>
      <c r="C748" s="726"/>
      <c r="D748" s="726"/>
      <c r="E748" s="726" t="s">
        <v>18</v>
      </c>
      <c r="F748" s="726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2"/>
      <c r="C749" s="726"/>
      <c r="D749" s="726"/>
      <c r="E749" s="726" t="s">
        <v>19</v>
      </c>
      <c r="F749" s="726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1"/>
      <c r="C750" s="726" t="s">
        <v>16</v>
      </c>
      <c r="D750" s="852" t="s">
        <v>38</v>
      </c>
      <c r="E750" s="618"/>
      <c r="F750" s="618"/>
      <c r="G750" s="619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6"/>
      <c r="B751" s="572"/>
      <c r="C751" s="726"/>
      <c r="D751" s="726"/>
      <c r="E751" s="726" t="s">
        <v>313</v>
      </c>
      <c r="F751" s="726"/>
      <c r="G751" s="568"/>
      <c r="H751" s="165" t="s">
        <v>46</v>
      </c>
      <c r="I751" s="584"/>
      <c r="J751" s="584"/>
      <c r="K751" s="93"/>
      <c r="L751" s="93"/>
      <c r="M751" s="93"/>
      <c r="N751" s="93"/>
      <c r="O751" s="93"/>
      <c r="P751" s="93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6"/>
      <c r="B752" s="572"/>
      <c r="C752" s="726"/>
      <c r="D752" s="726"/>
      <c r="E752" s="726"/>
      <c r="F752" s="726"/>
      <c r="G752" s="568"/>
      <c r="H752" s="165" t="s">
        <v>314</v>
      </c>
      <c r="I752" s="584"/>
      <c r="J752" s="584"/>
      <c r="K752" s="93"/>
      <c r="L752" s="93"/>
      <c r="M752" s="93"/>
      <c r="N752" s="93"/>
      <c r="O752" s="93"/>
      <c r="P752" s="93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2">
        <v>10</v>
      </c>
      <c r="B753" s="753" t="s">
        <v>315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726"/>
      <c r="C754" s="726" t="s">
        <v>16</v>
      </c>
      <c r="D754" s="930" t="s">
        <v>17</v>
      </c>
      <c r="E754" s="923"/>
      <c r="F754" s="923"/>
      <c r="G754" s="568"/>
      <c r="H754" s="613" t="s">
        <v>12</v>
      </c>
      <c r="I754" s="584"/>
      <c r="J754" s="584"/>
      <c r="K754" s="93"/>
      <c r="L754" s="614">
        <f t="shared" ref="L754:N754" si="302">L755+L756</f>
        <v>0</v>
      </c>
      <c r="M754" s="614">
        <f t="shared" si="302"/>
        <v>0</v>
      </c>
      <c r="N754" s="614">
        <f t="shared" si="302"/>
        <v>0</v>
      </c>
      <c r="O754" s="614">
        <f t="shared" ref="O754:O759" si="303">IF(L754&gt;0,N754*100/L754,0)</f>
        <v>0</v>
      </c>
      <c r="P754" s="614">
        <f t="shared" ref="P754:P759" si="304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726"/>
      <c r="C755" s="726"/>
      <c r="D755" s="687"/>
      <c r="E755" s="726" t="s">
        <v>184</v>
      </c>
      <c r="F755" s="726"/>
      <c r="G755" s="568"/>
      <c r="H755" s="165" t="s">
        <v>12</v>
      </c>
      <c r="I755" s="584"/>
      <c r="J755" s="584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2"/>
      <c r="C756" s="726"/>
      <c r="D756" s="687"/>
      <c r="E756" s="726" t="s">
        <v>185</v>
      </c>
      <c r="F756" s="726"/>
      <c r="G756" s="568"/>
      <c r="H756" s="165" t="s">
        <v>12</v>
      </c>
      <c r="I756" s="584"/>
      <c r="J756" s="584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2"/>
      <c r="C757" s="726"/>
      <c r="D757" s="805" t="s">
        <v>20</v>
      </c>
      <c r="E757" s="726"/>
      <c r="F757" s="726"/>
      <c r="G757" s="568"/>
      <c r="H757" s="613" t="s">
        <v>12</v>
      </c>
      <c r="I757" s="166"/>
      <c r="J757" s="166"/>
      <c r="K757" s="167"/>
      <c r="L757" s="614">
        <f t="shared" ref="L757:N757" si="306">L758+L759</f>
        <v>0</v>
      </c>
      <c r="M757" s="614">
        <f t="shared" si="306"/>
        <v>0</v>
      </c>
      <c r="N757" s="614">
        <f t="shared" si="306"/>
        <v>0</v>
      </c>
      <c r="O757" s="614">
        <f t="shared" si="303"/>
        <v>0</v>
      </c>
      <c r="P757" s="614">
        <f t="shared" si="304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2"/>
      <c r="C758" s="726"/>
      <c r="D758" s="687"/>
      <c r="E758" s="726" t="s">
        <v>184</v>
      </c>
      <c r="F758" s="726"/>
      <c r="G758" s="568"/>
      <c r="H758" s="165" t="s">
        <v>12</v>
      </c>
      <c r="I758" s="584"/>
      <c r="J758" s="584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2"/>
      <c r="C759" s="726"/>
      <c r="D759" s="687"/>
      <c r="E759" s="726" t="s">
        <v>185</v>
      </c>
      <c r="F759" s="726"/>
      <c r="G759" s="568"/>
      <c r="H759" s="165" t="s">
        <v>12</v>
      </c>
      <c r="I759" s="584"/>
      <c r="J759" s="584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6"/>
      <c r="B760" s="572"/>
      <c r="C760" s="726"/>
      <c r="D760" s="726"/>
      <c r="E760" s="726"/>
      <c r="F760" s="726" t="s">
        <v>186</v>
      </c>
      <c r="G760" s="568"/>
      <c r="H760" s="165" t="s">
        <v>12</v>
      </c>
      <c r="I760" s="584"/>
      <c r="J760" s="584"/>
      <c r="K760" s="93"/>
      <c r="L760" s="93"/>
      <c r="M760" s="93"/>
      <c r="N760" s="93"/>
      <c r="O760" s="93"/>
      <c r="P760" s="93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6"/>
      <c r="B761" s="572"/>
      <c r="C761" s="726"/>
      <c r="D761" s="726"/>
      <c r="E761" s="726"/>
      <c r="F761" s="726" t="s">
        <v>187</v>
      </c>
      <c r="G761" s="568"/>
      <c r="H761" s="165" t="s">
        <v>12</v>
      </c>
      <c r="I761" s="584"/>
      <c r="J761" s="584"/>
      <c r="K761" s="93"/>
      <c r="L761" s="93"/>
      <c r="M761" s="93"/>
      <c r="N761" s="93"/>
      <c r="O761" s="93"/>
      <c r="P761" s="93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6"/>
      <c r="B762" s="572"/>
      <c r="C762" s="726"/>
      <c r="D762" s="726"/>
      <c r="E762" s="726"/>
      <c r="F762" s="726" t="s">
        <v>188</v>
      </c>
      <c r="G762" s="568"/>
      <c r="H762" s="165" t="s">
        <v>12</v>
      </c>
      <c r="I762" s="584"/>
      <c r="J762" s="584"/>
      <c r="K762" s="93"/>
      <c r="L762" s="93"/>
      <c r="M762" s="93"/>
      <c r="N762" s="93"/>
      <c r="O762" s="93"/>
      <c r="P762" s="93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6"/>
      <c r="B763" s="572"/>
      <c r="C763" s="726"/>
      <c r="D763" s="726"/>
      <c r="E763" s="726"/>
      <c r="F763" s="726" t="s">
        <v>189</v>
      </c>
      <c r="G763" s="568"/>
      <c r="H763" s="165" t="s">
        <v>12</v>
      </c>
      <c r="I763" s="584"/>
      <c r="J763" s="584"/>
      <c r="K763" s="93"/>
      <c r="L763" s="93"/>
      <c r="M763" s="93"/>
      <c r="N763" s="93"/>
      <c r="O763" s="93"/>
      <c r="P763" s="93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2"/>
      <c r="C764" s="726"/>
      <c r="D764" s="805" t="s">
        <v>21</v>
      </c>
      <c r="E764" s="726"/>
      <c r="F764" s="726"/>
      <c r="G764" s="568"/>
      <c r="H764" s="750" t="s">
        <v>12</v>
      </c>
      <c r="I764" s="166"/>
      <c r="J764" s="166"/>
      <c r="K764" s="167"/>
      <c r="L764" s="614">
        <f t="shared" ref="L764:N764" si="307">L765+L766</f>
        <v>0</v>
      </c>
      <c r="M764" s="614">
        <f t="shared" si="307"/>
        <v>0</v>
      </c>
      <c r="N764" s="614">
        <f t="shared" si="307"/>
        <v>0</v>
      </c>
      <c r="O764" s="614">
        <f t="shared" ref="O764:O766" si="308">IF(L764&gt;0,N764*100/L764,0)</f>
        <v>0</v>
      </c>
      <c r="P764" s="614">
        <f t="shared" ref="P764:P766" si="309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2"/>
      <c r="C765" s="726"/>
      <c r="D765" s="726"/>
      <c r="E765" s="726" t="s">
        <v>18</v>
      </c>
      <c r="F765" s="726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2"/>
      <c r="C766" s="726"/>
      <c r="D766" s="726"/>
      <c r="E766" s="726" t="s">
        <v>19</v>
      </c>
      <c r="F766" s="726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1"/>
      <c r="C767" s="726" t="s">
        <v>16</v>
      </c>
      <c r="D767" s="852" t="s">
        <v>38</v>
      </c>
      <c r="E767" s="618"/>
      <c r="F767" s="618"/>
      <c r="G767" s="619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6"/>
      <c r="B768" s="572"/>
      <c r="C768" s="726"/>
      <c r="D768" s="726"/>
      <c r="E768" s="726" t="s">
        <v>316</v>
      </c>
      <c r="F768" s="726"/>
      <c r="G768" s="568"/>
      <c r="H768" s="165" t="s">
        <v>46</v>
      </c>
      <c r="I768" s="584"/>
      <c r="J768" s="584"/>
      <c r="K768" s="93"/>
      <c r="L768" s="93"/>
      <c r="M768" s="93"/>
      <c r="N768" s="93"/>
      <c r="O768" s="93"/>
      <c r="P768" s="93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60">
        <v>11</v>
      </c>
      <c r="B769" s="761" t="s">
        <v>317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J784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726"/>
      <c r="C770" s="726" t="s">
        <v>16</v>
      </c>
      <c r="D770" s="930" t="s">
        <v>17</v>
      </c>
      <c r="E770" s="923"/>
      <c r="F770" s="923"/>
      <c r="G770" s="568"/>
      <c r="H770" s="613" t="s">
        <v>12</v>
      </c>
      <c r="I770" s="584"/>
      <c r="J770" s="584"/>
      <c r="K770" s="93"/>
      <c r="L770" s="614">
        <f t="shared" ref="L770:N770" si="310">L771+L772</f>
        <v>0</v>
      </c>
      <c r="M770" s="614">
        <f t="shared" si="310"/>
        <v>0</v>
      </c>
      <c r="N770" s="614">
        <f t="shared" si="310"/>
        <v>0</v>
      </c>
      <c r="O770" s="614">
        <f t="shared" ref="O770:O775" si="311">IF(L770&gt;0,N770*100/L770,0)</f>
        <v>0</v>
      </c>
      <c r="P770" s="614">
        <f t="shared" ref="P770:P775" si="312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726"/>
      <c r="C771" s="726"/>
      <c r="D771" s="687"/>
      <c r="E771" s="726" t="s">
        <v>184</v>
      </c>
      <c r="F771" s="726"/>
      <c r="G771" s="568"/>
      <c r="H771" s="165" t="s">
        <v>12</v>
      </c>
      <c r="I771" s="584"/>
      <c r="J771" s="584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2"/>
      <c r="C772" s="726"/>
      <c r="D772" s="687"/>
      <c r="E772" s="726" t="s">
        <v>185</v>
      </c>
      <c r="F772" s="726"/>
      <c r="G772" s="568"/>
      <c r="H772" s="165" t="s">
        <v>12</v>
      </c>
      <c r="I772" s="584"/>
      <c r="J772" s="584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2"/>
      <c r="C773" s="726"/>
      <c r="D773" s="805" t="s">
        <v>20</v>
      </c>
      <c r="E773" s="726"/>
      <c r="F773" s="726"/>
      <c r="G773" s="568"/>
      <c r="H773" s="613" t="s">
        <v>12</v>
      </c>
      <c r="I773" s="166"/>
      <c r="J773" s="166"/>
      <c r="K773" s="167"/>
      <c r="L773" s="614">
        <f t="shared" ref="L773:N773" si="314">L774+L775</f>
        <v>0</v>
      </c>
      <c r="M773" s="614">
        <f t="shared" si="314"/>
        <v>0</v>
      </c>
      <c r="N773" s="614">
        <f t="shared" si="314"/>
        <v>0</v>
      </c>
      <c r="O773" s="614">
        <f t="shared" si="311"/>
        <v>0</v>
      </c>
      <c r="P773" s="614">
        <f t="shared" si="312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2"/>
      <c r="C774" s="726"/>
      <c r="D774" s="687"/>
      <c r="E774" s="726" t="s">
        <v>184</v>
      </c>
      <c r="F774" s="726"/>
      <c r="G774" s="568"/>
      <c r="H774" s="165" t="s">
        <v>12</v>
      </c>
      <c r="I774" s="584"/>
      <c r="J774" s="584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2"/>
      <c r="C775" s="726"/>
      <c r="D775" s="687"/>
      <c r="E775" s="726" t="s">
        <v>185</v>
      </c>
      <c r="F775" s="726"/>
      <c r="G775" s="568"/>
      <c r="H775" s="165" t="s">
        <v>12</v>
      </c>
      <c r="I775" s="584"/>
      <c r="J775" s="584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6"/>
      <c r="B776" s="572"/>
      <c r="C776" s="726"/>
      <c r="D776" s="726"/>
      <c r="E776" s="726"/>
      <c r="F776" s="726" t="s">
        <v>186</v>
      </c>
      <c r="G776" s="568"/>
      <c r="H776" s="165" t="s">
        <v>12</v>
      </c>
      <c r="I776" s="584"/>
      <c r="J776" s="584"/>
      <c r="K776" s="93"/>
      <c r="L776" s="93"/>
      <c r="M776" s="93"/>
      <c r="N776" s="93"/>
      <c r="O776" s="93"/>
      <c r="P776" s="93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6"/>
      <c r="B777" s="572"/>
      <c r="C777" s="726"/>
      <c r="D777" s="726"/>
      <c r="E777" s="726"/>
      <c r="F777" s="726" t="s">
        <v>187</v>
      </c>
      <c r="G777" s="568"/>
      <c r="H777" s="165" t="s">
        <v>12</v>
      </c>
      <c r="I777" s="584"/>
      <c r="J777" s="584"/>
      <c r="K777" s="93"/>
      <c r="L777" s="93"/>
      <c r="M777" s="93"/>
      <c r="N777" s="93"/>
      <c r="O777" s="93"/>
      <c r="P777" s="93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6"/>
      <c r="B778" s="572"/>
      <c r="C778" s="726"/>
      <c r="D778" s="726"/>
      <c r="E778" s="726"/>
      <c r="F778" s="726" t="s">
        <v>188</v>
      </c>
      <c r="G778" s="568"/>
      <c r="H778" s="165" t="s">
        <v>12</v>
      </c>
      <c r="I778" s="584"/>
      <c r="J778" s="584"/>
      <c r="K778" s="93"/>
      <c r="L778" s="93"/>
      <c r="M778" s="93"/>
      <c r="N778" s="93"/>
      <c r="O778" s="93"/>
      <c r="P778" s="93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6"/>
      <c r="B779" s="572"/>
      <c r="C779" s="726"/>
      <c r="D779" s="726"/>
      <c r="E779" s="726"/>
      <c r="F779" s="726" t="s">
        <v>189</v>
      </c>
      <c r="G779" s="568"/>
      <c r="H779" s="165" t="s">
        <v>12</v>
      </c>
      <c r="I779" s="584"/>
      <c r="J779" s="584"/>
      <c r="K779" s="93"/>
      <c r="L779" s="93"/>
      <c r="M779" s="93"/>
      <c r="N779" s="93"/>
      <c r="O779" s="93"/>
      <c r="P779" s="93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2"/>
      <c r="C780" s="726"/>
      <c r="D780" s="805" t="s">
        <v>21</v>
      </c>
      <c r="E780" s="726"/>
      <c r="F780" s="726"/>
      <c r="G780" s="568"/>
      <c r="H780" s="750" t="s">
        <v>12</v>
      </c>
      <c r="I780" s="166"/>
      <c r="J780" s="166"/>
      <c r="K780" s="167"/>
      <c r="L780" s="614">
        <f t="shared" ref="L780:N780" si="315">L781+L782</f>
        <v>0</v>
      </c>
      <c r="M780" s="614">
        <f t="shared" si="315"/>
        <v>0</v>
      </c>
      <c r="N780" s="614">
        <f t="shared" si="315"/>
        <v>0</v>
      </c>
      <c r="O780" s="614">
        <f t="shared" ref="O780:O782" si="316">IF(L780&gt;0,N780*100/L780,0)</f>
        <v>0</v>
      </c>
      <c r="P780" s="614">
        <f t="shared" ref="P780:P782" si="317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2"/>
      <c r="C781" s="726"/>
      <c r="D781" s="726"/>
      <c r="E781" s="726" t="s">
        <v>18</v>
      </c>
      <c r="F781" s="726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2"/>
      <c r="C782" s="726"/>
      <c r="D782" s="726"/>
      <c r="E782" s="726" t="s">
        <v>19</v>
      </c>
      <c r="F782" s="726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1"/>
      <c r="C783" s="726" t="s">
        <v>16</v>
      </c>
      <c r="D783" s="852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6"/>
      <c r="B784" s="572"/>
      <c r="C784" s="726"/>
      <c r="D784" s="726"/>
      <c r="E784" s="726" t="s">
        <v>318</v>
      </c>
      <c r="F784" s="726"/>
      <c r="G784" s="568"/>
      <c r="H784" s="165" t="s">
        <v>46</v>
      </c>
      <c r="I784" s="584"/>
      <c r="J784" s="584"/>
      <c r="K784" s="93"/>
      <c r="L784" s="93"/>
      <c r="M784" s="93"/>
      <c r="N784" s="93"/>
      <c r="O784" s="93"/>
      <c r="P784" s="93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9">
        <v>12</v>
      </c>
      <c r="B785" s="770" t="s">
        <v>319</v>
      </c>
      <c r="C785" s="771"/>
      <c r="D785" s="771"/>
      <c r="E785" s="771"/>
      <c r="F785" s="771"/>
      <c r="G785" s="772"/>
      <c r="H785" s="871" t="s">
        <v>46</v>
      </c>
      <c r="I785" s="872">
        <f t="shared" ref="I785:J785" ca="1" si="318">I801+I803</f>
        <v>2000</v>
      </c>
      <c r="J785" s="872">
        <f t="shared" ca="1" si="318"/>
        <v>1186</v>
      </c>
      <c r="K785" s="873">
        <f ca="1">IF(I785&gt;0,J785*100/I785,0)</f>
        <v>59.3</v>
      </c>
      <c r="L785" s="776"/>
      <c r="M785" s="776"/>
      <c r="N785" s="776"/>
      <c r="O785" s="776"/>
      <c r="P785" s="776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730" t="s">
        <v>16</v>
      </c>
      <c r="D786" s="929" t="s">
        <v>17</v>
      </c>
      <c r="E786" s="923"/>
      <c r="F786" s="923"/>
      <c r="G786" s="189"/>
      <c r="H786" s="874" t="s">
        <v>12</v>
      </c>
      <c r="I786" s="875"/>
      <c r="J786" s="875"/>
      <c r="K786" s="876"/>
      <c r="L786" s="195">
        <f t="shared" ref="L786:N786" ca="1" si="319">L787+L788</f>
        <v>137280</v>
      </c>
      <c r="M786" s="195">
        <f t="shared" si="319"/>
        <v>0</v>
      </c>
      <c r="N786" s="195">
        <f t="shared" si="319"/>
        <v>37580</v>
      </c>
      <c r="O786" s="195">
        <f t="shared" ref="O786:O791" ca="1" si="320">IF(L786&gt;0,N786*100/L786,0)</f>
        <v>27.374708624708624</v>
      </c>
      <c r="P786" s="195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2"/>
      <c r="C787" s="726"/>
      <c r="D787" s="687"/>
      <c r="E787" s="726" t="s">
        <v>184</v>
      </c>
      <c r="F787" s="726"/>
      <c r="G787" s="568"/>
      <c r="H787" s="877" t="s">
        <v>12</v>
      </c>
      <c r="I787" s="875"/>
      <c r="J787" s="875"/>
      <c r="K787" s="87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2"/>
      <c r="C788" s="572"/>
      <c r="D788" s="581"/>
      <c r="E788" s="726" t="s">
        <v>185</v>
      </c>
      <c r="F788" s="726"/>
      <c r="G788" s="568"/>
      <c r="H788" s="877" t="s">
        <v>12</v>
      </c>
      <c r="I788" s="875"/>
      <c r="J788" s="875"/>
      <c r="K788" s="876"/>
      <c r="L788" s="93">
        <f t="shared" ca="1" si="322"/>
        <v>137280</v>
      </c>
      <c r="M788" s="93">
        <f t="shared" si="322"/>
        <v>0</v>
      </c>
      <c r="N788" s="93">
        <f t="shared" si="322"/>
        <v>37580</v>
      </c>
      <c r="O788" s="93">
        <f t="shared" ca="1" si="320"/>
        <v>27.374708624708624</v>
      </c>
      <c r="P788" s="93">
        <f t="shared" si="321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730"/>
      <c r="F789" s="730"/>
      <c r="G789" s="189"/>
      <c r="H789" s="878" t="s">
        <v>12</v>
      </c>
      <c r="I789" s="879"/>
      <c r="J789" s="879"/>
      <c r="K789" s="880"/>
      <c r="L789" s="466">
        <f t="shared" ref="L789:N789" ca="1" si="323">L790+L791</f>
        <v>137280</v>
      </c>
      <c r="M789" s="466">
        <f t="shared" si="323"/>
        <v>0</v>
      </c>
      <c r="N789" s="466">
        <f t="shared" si="323"/>
        <v>37580</v>
      </c>
      <c r="O789" s="466">
        <f t="shared" ca="1" si="320"/>
        <v>27.374708624708624</v>
      </c>
      <c r="P789" s="466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2"/>
      <c r="C790" s="572"/>
      <c r="D790" s="581"/>
      <c r="E790" s="726" t="s">
        <v>184</v>
      </c>
      <c r="F790" s="726"/>
      <c r="G790" s="568"/>
      <c r="H790" s="877" t="s">
        <v>12</v>
      </c>
      <c r="I790" s="875"/>
      <c r="J790" s="875"/>
      <c r="K790" s="87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2"/>
      <c r="C791" s="572"/>
      <c r="D791" s="581"/>
      <c r="E791" s="726" t="s">
        <v>185</v>
      </c>
      <c r="F791" s="726"/>
      <c r="G791" s="568"/>
      <c r="H791" s="877" t="s">
        <v>12</v>
      </c>
      <c r="I791" s="875"/>
      <c r="J791" s="875"/>
      <c r="K791" s="876"/>
      <c r="L791" s="93">
        <f ca="1">IFERROR(__xludf.DUMMYFUNCTION("IMPORTRANGE(""https://docs.google.com/spreadsheets/d/1QqKyyYR6Q21VydFLVH3TRQUabQu_ym0Zz7PgGX0-kHA/edit?usp=sharing"",""แผน!JJ21"")"),137280)</f>
        <v>137280</v>
      </c>
      <c r="M791" s="93">
        <v>0</v>
      </c>
      <c r="N791" s="93">
        <f>N792+N793+N794+N795</f>
        <v>37580</v>
      </c>
      <c r="O791" s="93">
        <f t="shared" ca="1" si="320"/>
        <v>27.374708624708624</v>
      </c>
      <c r="P791" s="93">
        <f t="shared" si="321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730"/>
      <c r="D792" s="730"/>
      <c r="E792" s="730"/>
      <c r="F792" s="730" t="s">
        <v>186</v>
      </c>
      <c r="G792" s="189"/>
      <c r="H792" s="878" t="s">
        <v>12</v>
      </c>
      <c r="I792" s="875"/>
      <c r="J792" s="875"/>
      <c r="K792" s="876"/>
      <c r="L792" s="466"/>
      <c r="M792" s="466"/>
      <c r="N792" s="801">
        <v>0</v>
      </c>
      <c r="O792" s="466"/>
      <c r="P792" s="466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730"/>
      <c r="D793" s="730"/>
      <c r="E793" s="730"/>
      <c r="F793" s="730" t="s">
        <v>187</v>
      </c>
      <c r="G793" s="189"/>
      <c r="H793" s="878" t="s">
        <v>12</v>
      </c>
      <c r="I793" s="875"/>
      <c r="J793" s="875"/>
      <c r="K793" s="876"/>
      <c r="L793" s="466"/>
      <c r="M793" s="466"/>
      <c r="N793" s="801">
        <v>0</v>
      </c>
      <c r="O793" s="466"/>
      <c r="P793" s="466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730"/>
      <c r="D794" s="730"/>
      <c r="E794" s="730"/>
      <c r="F794" s="730" t="s">
        <v>188</v>
      </c>
      <c r="G794" s="189"/>
      <c r="H794" s="878" t="s">
        <v>12</v>
      </c>
      <c r="I794" s="875"/>
      <c r="J794" s="875"/>
      <c r="K794" s="876"/>
      <c r="L794" s="466"/>
      <c r="M794" s="466"/>
      <c r="N794" s="801">
        <v>0</v>
      </c>
      <c r="O794" s="466"/>
      <c r="P794" s="466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730"/>
      <c r="D795" s="730"/>
      <c r="E795" s="730"/>
      <c r="F795" s="730" t="s">
        <v>189</v>
      </c>
      <c r="G795" s="189"/>
      <c r="H795" s="878" t="s">
        <v>12</v>
      </c>
      <c r="I795" s="875"/>
      <c r="J795" s="875"/>
      <c r="K795" s="876"/>
      <c r="L795" s="466"/>
      <c r="M795" s="466"/>
      <c r="N795" s="801">
        <v>37580</v>
      </c>
      <c r="O795" s="466"/>
      <c r="P795" s="466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730"/>
      <c r="D796" s="571" t="s">
        <v>21</v>
      </c>
      <c r="E796" s="730"/>
      <c r="F796" s="730"/>
      <c r="G796" s="189"/>
      <c r="H796" s="881" t="s">
        <v>12</v>
      </c>
      <c r="I796" s="879"/>
      <c r="J796" s="879"/>
      <c r="K796" s="880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2"/>
      <c r="C797" s="726"/>
      <c r="D797" s="726"/>
      <c r="E797" s="726" t="s">
        <v>18</v>
      </c>
      <c r="F797" s="726"/>
      <c r="G797" s="568"/>
      <c r="H797" s="877" t="s">
        <v>12</v>
      </c>
      <c r="I797" s="879"/>
      <c r="J797" s="879"/>
      <c r="K797" s="88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2"/>
      <c r="C798" s="726"/>
      <c r="D798" s="726"/>
      <c r="E798" s="726" t="s">
        <v>19</v>
      </c>
      <c r="F798" s="726"/>
      <c r="G798" s="568"/>
      <c r="H798" s="882" t="s">
        <v>12</v>
      </c>
      <c r="I798" s="879"/>
      <c r="J798" s="879"/>
      <c r="K798" s="88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85"/>
      <c r="C799" s="730" t="s">
        <v>16</v>
      </c>
      <c r="D799" s="851" t="s">
        <v>38</v>
      </c>
      <c r="E799" s="728"/>
      <c r="F799" s="728"/>
      <c r="G799" s="578"/>
      <c r="H799" s="883"/>
      <c r="I799" s="879"/>
      <c r="J799" s="879"/>
      <c r="K799" s="880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85"/>
      <c r="C800" s="585"/>
      <c r="D800" s="585"/>
      <c r="E800" s="593"/>
      <c r="F800" s="593" t="s">
        <v>320</v>
      </c>
      <c r="G800" s="729"/>
      <c r="H800" s="884" t="s">
        <v>34</v>
      </c>
      <c r="I800" s="879"/>
      <c r="J800" s="885">
        <f ca="1">IFERROR(__xludf.DUMMYFUNCTION("IMPORTRANGE(""https://docs.google.com/spreadsheets/d/1MaWodYyGHDf7siQLGxnXhG4mBNTNIuy296niS2xXulU/edit?usp=sharing"",""RTK!H21"")"),50)</f>
        <v>50</v>
      </c>
      <c r="K800" s="876"/>
      <c r="L800" s="466"/>
      <c r="M800" s="466"/>
      <c r="N800" s="466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85"/>
      <c r="C801" s="585"/>
      <c r="D801" s="585"/>
      <c r="E801" s="593"/>
      <c r="F801" s="593"/>
      <c r="G801" s="729"/>
      <c r="H801" s="878" t="s">
        <v>46</v>
      </c>
      <c r="I801" s="885">
        <f ca="1">IFERROR(__xludf.DUMMYFUNCTION("IMPORTRANGE(""https://docs.google.com/spreadsheets/d/1MaWodYyGHDf7siQLGxnXhG4mBNTNIuy296niS2xXulU/edit?usp=sharing"",""RTK!G21"")"),2000)</f>
        <v>2000</v>
      </c>
      <c r="J801" s="886">
        <f ca="1">IFERROR(__xludf.DUMMYFUNCTION("IMPORTRANGE(""https://docs.google.com/spreadsheets/d/1MaWodYyGHDf7siQLGxnXhG4mBNTNIuy296niS2xXulU/edit?usp=sharing"",""RTK!I21"")"),1186)</f>
        <v>1186</v>
      </c>
      <c r="K801" s="887">
        <f ca="1">IF(I801&gt;0,J801*100/I801,0)</f>
        <v>59.3</v>
      </c>
      <c r="L801" s="466"/>
      <c r="M801" s="466"/>
      <c r="N801" s="466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579"/>
      <c r="B802" s="581"/>
      <c r="C802" s="581"/>
      <c r="D802" s="581"/>
      <c r="E802" s="687"/>
      <c r="F802" s="783" t="s">
        <v>321</v>
      </c>
      <c r="G802" s="582"/>
      <c r="H802" s="884" t="s">
        <v>34</v>
      </c>
      <c r="I802" s="879"/>
      <c r="J802" s="885">
        <f ca="1">IFERROR(__xludf.DUMMYFUNCTION("IMPORTRANGE(""https://docs.google.com/spreadsheets/d/1MaWodYyGHDf7siQLGxnXhG4mBNTNIuy296niS2xXulU/edit?usp=sharing"",""RTK!L21"")"),0)</f>
        <v>0</v>
      </c>
      <c r="K802" s="876"/>
      <c r="L802" s="167"/>
      <c r="M802" s="167"/>
      <c r="N802" s="167"/>
      <c r="O802" s="167"/>
      <c r="P802" s="167"/>
      <c r="Q802" s="569"/>
      <c r="R802" s="569"/>
      <c r="S802" s="569"/>
      <c r="T802" s="569"/>
      <c r="U802" s="569"/>
      <c r="V802" s="569"/>
      <c r="W802" s="569"/>
      <c r="X802" s="569"/>
      <c r="Y802" s="569"/>
      <c r="Z802" s="569"/>
    </row>
    <row r="803" spans="1:26" ht="18.75">
      <c r="A803" s="579"/>
      <c r="B803" s="581"/>
      <c r="C803" s="581"/>
      <c r="D803" s="581"/>
      <c r="E803" s="687"/>
      <c r="F803" s="687"/>
      <c r="G803" s="582"/>
      <c r="H803" s="884" t="s">
        <v>46</v>
      </c>
      <c r="I803" s="885">
        <f ca="1">IFERROR(__xludf.DUMMYFUNCTION("IMPORTRANGE(""https://docs.google.com/spreadsheets/d/1MaWodYyGHDf7siQLGxnXhG4mBNTNIuy296niS2xXulU/edit?usp=sharing"",""RTK!K21"")"),0)</f>
        <v>0</v>
      </c>
      <c r="J803" s="886">
        <f ca="1">IFERROR(__xludf.DUMMYFUNCTION("IMPORTRANGE(""https://docs.google.com/spreadsheets/d/1MaWodYyGHDf7siQLGxnXhG4mBNTNIuy296niS2xXulU/edit?usp=sharing"",""RTK!M21"")"),0)</f>
        <v>0</v>
      </c>
      <c r="K803" s="887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69"/>
      <c r="R803" s="569"/>
      <c r="S803" s="569"/>
      <c r="T803" s="569"/>
      <c r="U803" s="569"/>
      <c r="V803" s="569"/>
      <c r="W803" s="569"/>
      <c r="X803" s="569"/>
      <c r="Y803" s="569"/>
      <c r="Z803" s="569"/>
    </row>
    <row r="804" spans="1:26" ht="19.5" hidden="1">
      <c r="A804" s="760">
        <v>13</v>
      </c>
      <c r="B804" s="761" t="s">
        <v>322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 t="shared" si="327"/>
        <v>0</v>
      </c>
      <c r="L804" s="767"/>
      <c r="M804" s="767"/>
      <c r="N804" s="767"/>
      <c r="O804" s="767"/>
      <c r="P804" s="767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726"/>
      <c r="C805" s="726" t="s">
        <v>16</v>
      </c>
      <c r="D805" s="930" t="s">
        <v>17</v>
      </c>
      <c r="E805" s="923"/>
      <c r="F805" s="923"/>
      <c r="G805" s="568"/>
      <c r="H805" s="613" t="s">
        <v>12</v>
      </c>
      <c r="I805" s="584"/>
      <c r="J805" s="584"/>
      <c r="K805" s="93"/>
      <c r="L805" s="614">
        <f t="shared" ref="L805:N805" si="328">L806+L807</f>
        <v>0</v>
      </c>
      <c r="M805" s="614">
        <f t="shared" si="328"/>
        <v>0</v>
      </c>
      <c r="N805" s="614">
        <f t="shared" si="328"/>
        <v>0</v>
      </c>
      <c r="O805" s="614">
        <f t="shared" ref="O805:O810" si="329">IF(L805&gt;0,N805*100/L805,0)</f>
        <v>0</v>
      </c>
      <c r="P805" s="614">
        <f t="shared" ref="P805:P810" si="330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726"/>
      <c r="C806" s="726"/>
      <c r="D806" s="581"/>
      <c r="E806" s="726" t="s">
        <v>184</v>
      </c>
      <c r="F806" s="726"/>
      <c r="G806" s="568"/>
      <c r="H806" s="165" t="s">
        <v>12</v>
      </c>
      <c r="I806" s="584"/>
      <c r="J806" s="584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726"/>
      <c r="C807" s="726"/>
      <c r="D807" s="581"/>
      <c r="E807" s="726" t="s">
        <v>185</v>
      </c>
      <c r="F807" s="726"/>
      <c r="G807" s="568"/>
      <c r="H807" s="165" t="s">
        <v>12</v>
      </c>
      <c r="I807" s="584"/>
      <c r="J807" s="584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2"/>
      <c r="C808" s="726"/>
      <c r="D808" s="935" t="s">
        <v>20</v>
      </c>
      <c r="E808" s="923"/>
      <c r="F808" s="923"/>
      <c r="G808" s="568"/>
      <c r="H808" s="613" t="s">
        <v>12</v>
      </c>
      <c r="I808" s="166"/>
      <c r="J808" s="166"/>
      <c r="K808" s="167"/>
      <c r="L808" s="614">
        <f t="shared" ref="L808:N808" si="332">L809+L810</f>
        <v>0</v>
      </c>
      <c r="M808" s="614">
        <f t="shared" si="332"/>
        <v>0</v>
      </c>
      <c r="N808" s="614">
        <f t="shared" si="332"/>
        <v>0</v>
      </c>
      <c r="O808" s="614">
        <f t="shared" si="329"/>
        <v>0</v>
      </c>
      <c r="P808" s="614">
        <f t="shared" si="330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726"/>
      <c r="C809" s="726"/>
      <c r="D809" s="581"/>
      <c r="E809" s="726" t="s">
        <v>184</v>
      </c>
      <c r="F809" s="726"/>
      <c r="G809" s="568"/>
      <c r="H809" s="165" t="s">
        <v>12</v>
      </c>
      <c r="I809" s="584"/>
      <c r="J809" s="584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726"/>
      <c r="C810" s="726"/>
      <c r="D810" s="581"/>
      <c r="E810" s="726" t="s">
        <v>185</v>
      </c>
      <c r="F810" s="726"/>
      <c r="G810" s="568"/>
      <c r="H810" s="165" t="s">
        <v>12</v>
      </c>
      <c r="I810" s="584"/>
      <c r="J810" s="584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6"/>
      <c r="B811" s="572"/>
      <c r="C811" s="726"/>
      <c r="D811" s="572"/>
      <c r="E811" s="726"/>
      <c r="F811" s="726" t="s">
        <v>186</v>
      </c>
      <c r="G811" s="568"/>
      <c r="H811" s="165" t="s">
        <v>12</v>
      </c>
      <c r="I811" s="584"/>
      <c r="J811" s="584"/>
      <c r="K811" s="93"/>
      <c r="L811" s="93"/>
      <c r="M811" s="93"/>
      <c r="N811" s="93"/>
      <c r="O811" s="93"/>
      <c r="P811" s="93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6"/>
      <c r="B812" s="572"/>
      <c r="C812" s="726"/>
      <c r="D812" s="572"/>
      <c r="E812" s="726"/>
      <c r="F812" s="726" t="s">
        <v>187</v>
      </c>
      <c r="G812" s="568"/>
      <c r="H812" s="165" t="s">
        <v>12</v>
      </c>
      <c r="I812" s="584"/>
      <c r="J812" s="584"/>
      <c r="K812" s="93"/>
      <c r="L812" s="93"/>
      <c r="M812" s="93"/>
      <c r="N812" s="93"/>
      <c r="O812" s="93"/>
      <c r="P812" s="93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6"/>
      <c r="B813" s="572"/>
      <c r="C813" s="726"/>
      <c r="D813" s="572"/>
      <c r="E813" s="726"/>
      <c r="F813" s="726" t="s">
        <v>188</v>
      </c>
      <c r="G813" s="568"/>
      <c r="H813" s="165" t="s">
        <v>12</v>
      </c>
      <c r="I813" s="584"/>
      <c r="J813" s="584"/>
      <c r="K813" s="93"/>
      <c r="L813" s="93"/>
      <c r="M813" s="93"/>
      <c r="N813" s="93"/>
      <c r="O813" s="93"/>
      <c r="P813" s="93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6"/>
      <c r="B814" s="572"/>
      <c r="C814" s="726"/>
      <c r="D814" s="572"/>
      <c r="E814" s="726"/>
      <c r="F814" s="726" t="s">
        <v>189</v>
      </c>
      <c r="G814" s="568"/>
      <c r="H814" s="165" t="s">
        <v>12</v>
      </c>
      <c r="I814" s="584"/>
      <c r="J814" s="584"/>
      <c r="K814" s="93"/>
      <c r="L814" s="93"/>
      <c r="M814" s="93"/>
      <c r="N814" s="93"/>
      <c r="O814" s="93"/>
      <c r="P814" s="93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2"/>
      <c r="C815" s="726"/>
      <c r="D815" s="935" t="s">
        <v>21</v>
      </c>
      <c r="E815" s="923"/>
      <c r="F815" s="923"/>
      <c r="G815" s="568"/>
      <c r="H815" s="750" t="s">
        <v>12</v>
      </c>
      <c r="I815" s="166"/>
      <c r="J815" s="166"/>
      <c r="K815" s="167"/>
      <c r="L815" s="614">
        <f t="shared" ref="L815:N815" si="333">L816+L817</f>
        <v>0</v>
      </c>
      <c r="M815" s="614">
        <f t="shared" si="333"/>
        <v>0</v>
      </c>
      <c r="N815" s="614">
        <f t="shared" si="333"/>
        <v>0</v>
      </c>
      <c r="O815" s="614">
        <f t="shared" ref="O815:O817" si="334">IF(L815&gt;0,N815*100/L815,0)</f>
        <v>0</v>
      </c>
      <c r="P815" s="614">
        <f t="shared" ref="P815:P817" si="335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2"/>
      <c r="C816" s="726"/>
      <c r="D816" s="572"/>
      <c r="E816" s="726" t="s">
        <v>18</v>
      </c>
      <c r="F816" s="726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2"/>
      <c r="C817" s="726"/>
      <c r="D817" s="572"/>
      <c r="E817" s="726" t="s">
        <v>19</v>
      </c>
      <c r="F817" s="726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1"/>
      <c r="C818" s="726" t="s">
        <v>16</v>
      </c>
      <c r="D818" s="854" t="s">
        <v>38</v>
      </c>
      <c r="E818" s="618"/>
      <c r="F818" s="618"/>
      <c r="G818" s="619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9.5" hidden="1" thickBot="1">
      <c r="A819" s="788"/>
      <c r="B819" s="789"/>
      <c r="C819" s="791"/>
      <c r="D819" s="789"/>
      <c r="E819" s="791" t="s">
        <v>323</v>
      </c>
      <c r="F819" s="791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855" t="s">
        <v>332</v>
      </c>
      <c r="B820" s="856"/>
      <c r="C820" s="856"/>
      <c r="D820" s="857"/>
      <c r="E820" s="856"/>
      <c r="F820" s="856"/>
      <c r="G820" s="858"/>
      <c r="H820" s="8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60"/>
      <c r="J820" s="860"/>
      <c r="K820" s="861"/>
      <c r="L820" s="861"/>
      <c r="M820" s="861"/>
      <c r="N820" s="861"/>
      <c r="O820" s="861"/>
      <c r="P820" s="861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1"/>
      <c r="B821" s="730" t="s">
        <v>325</v>
      </c>
      <c r="C821" s="730"/>
      <c r="D821" s="539"/>
      <c r="E821" s="730"/>
      <c r="F821" s="730"/>
      <c r="G821" s="189"/>
      <c r="H821" s="590" t="s">
        <v>12</v>
      </c>
      <c r="I821" s="270">
        <f ca="1">IFERROR(__xludf.DUMMYFUNCTION("IMPORTRANGE(""https://docs.google.com/spreadsheets/d/19vJNZY_5yjcGF2XGBMNZRCAIB0Kwfpjp8YEOfu-bneM/edit?usp=sharing"",""งานกองทุน!D21"")"),2490000)</f>
        <v>2490000</v>
      </c>
      <c r="J821" s="270">
        <f ca="1">IFERROR(__xludf.DUMMYFUNCTION("IMPORTRANGE(""https://docs.google.com/spreadsheets/d/19vJNZY_5yjcGF2XGBMNZRCAIB0Kwfpjp8YEOfu-bneM/edit?usp=sharing"",""งานกองทุน!F21"")"),408000)</f>
        <v>408000</v>
      </c>
      <c r="K821" s="466">
        <f t="shared" ref="K821:K828" ca="1" si="336">IF(I821&gt;0,J821*100/I821,0)</f>
        <v>16.3855421686747</v>
      </c>
      <c r="L821" s="466"/>
      <c r="M821" s="466"/>
      <c r="N821" s="466"/>
      <c r="O821" s="466"/>
      <c r="P821" s="466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1"/>
      <c r="B822" s="730"/>
      <c r="C822" s="730"/>
      <c r="D822" s="539"/>
      <c r="E822" s="730"/>
      <c r="F822" s="730"/>
      <c r="G822" s="189"/>
      <c r="H822" s="590" t="s">
        <v>35</v>
      </c>
      <c r="I822" s="270">
        <f ca="1">IFERROR(__xludf.DUMMYFUNCTION("IMPORTRANGE(""https://docs.google.com/spreadsheets/d/19vJNZY_5yjcGF2XGBMNZRCAIB0Kwfpjp8YEOfu-bneM/edit?usp=sharing"",""งานกองทุน!C21"")"),91)</f>
        <v>91</v>
      </c>
      <c r="J822" s="270">
        <f ca="1">IFERROR(__xludf.DUMMYFUNCTION("IMPORTRANGE(""https://docs.google.com/spreadsheets/d/19vJNZY_5yjcGF2XGBMNZRCAIB0Kwfpjp8YEOfu-bneM/edit?usp=sharing"",""งานกองทุน!E21"")"),16)</f>
        <v>16</v>
      </c>
      <c r="K822" s="466">
        <f t="shared" ca="1" si="336"/>
        <v>17.582417582417584</v>
      </c>
      <c r="L822" s="466"/>
      <c r="M822" s="466"/>
      <c r="N822" s="466"/>
      <c r="O822" s="466"/>
      <c r="P822" s="466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1"/>
      <c r="B823" s="730" t="s">
        <v>326</v>
      </c>
      <c r="C823" s="730"/>
      <c r="D823" s="539"/>
      <c r="E823" s="730"/>
      <c r="F823" s="730"/>
      <c r="G823" s="189"/>
      <c r="H823" s="590" t="s">
        <v>12</v>
      </c>
      <c r="I823" s="270">
        <f ca="1">IFERROR(__xludf.DUMMYFUNCTION("IMPORTRANGE(""https://docs.google.com/spreadsheets/d/19vJNZY_5yjcGF2XGBMNZRCAIB0Kwfpjp8YEOfu-bneM/edit?usp=sharing"",""งานกองทุน!I21"")"),558219.67)</f>
        <v>558219.67000000004</v>
      </c>
      <c r="J823" s="270">
        <f ca="1">IFERROR(__xludf.DUMMYFUNCTION("IMPORTRANGE(""https://docs.google.com/spreadsheets/d/19vJNZY_5yjcGF2XGBMNZRCAIB0Kwfpjp8YEOfu-bneM/edit?usp=sharing"",""งานกองทุน!K21"")"),39230.79)</f>
        <v>39230.79</v>
      </c>
      <c r="K823" s="466">
        <f t="shared" ca="1" si="336"/>
        <v>7.0278408498217191</v>
      </c>
      <c r="L823" s="466"/>
      <c r="M823" s="466"/>
      <c r="N823" s="466"/>
      <c r="O823" s="466"/>
      <c r="P823" s="466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1"/>
      <c r="B824" s="730"/>
      <c r="C824" s="730"/>
      <c r="D824" s="539"/>
      <c r="E824" s="730"/>
      <c r="F824" s="730"/>
      <c r="G824" s="189"/>
      <c r="H824" s="590" t="s">
        <v>35</v>
      </c>
      <c r="I824" s="270">
        <f ca="1">IFERROR(__xludf.DUMMYFUNCTION("IMPORTRANGE(""https://docs.google.com/spreadsheets/d/19vJNZY_5yjcGF2XGBMNZRCAIB0Kwfpjp8YEOfu-bneM/edit?usp=sharing"",""งานกองทุน!H21"")"),30)</f>
        <v>30</v>
      </c>
      <c r="J824" s="270">
        <f ca="1">IFERROR(__xludf.DUMMYFUNCTION("IMPORTRANGE(""https://docs.google.com/spreadsheets/d/19vJNZY_5yjcGF2XGBMNZRCAIB0Kwfpjp8YEOfu-bneM/edit?usp=sharing"",""งานกองทุน!J21"")"),2)</f>
        <v>2</v>
      </c>
      <c r="K824" s="466">
        <f t="shared" ca="1" si="336"/>
        <v>6.666666666666667</v>
      </c>
      <c r="L824" s="466"/>
      <c r="M824" s="466"/>
      <c r="N824" s="466"/>
      <c r="O824" s="466"/>
      <c r="P824" s="466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1"/>
      <c r="B825" s="730" t="s">
        <v>327</v>
      </c>
      <c r="C825" s="730"/>
      <c r="D825" s="539"/>
      <c r="E825" s="730"/>
      <c r="F825" s="730"/>
      <c r="G825" s="189"/>
      <c r="H825" s="590" t="s">
        <v>12</v>
      </c>
      <c r="I825" s="270">
        <f ca="1">IFERROR(__xludf.DUMMYFUNCTION("IMPORTRANGE(""https://docs.google.com/spreadsheets/d/19vJNZY_5yjcGF2XGBMNZRCAIB0Kwfpjp8YEOfu-bneM/edit?usp=sharing"",""งานกองทุน!N21"")"),5762243.62)</f>
        <v>5762243.6200000001</v>
      </c>
      <c r="J825" s="270">
        <f ca="1">IFERROR(__xludf.DUMMYFUNCTION("IMPORTRANGE(""https://docs.google.com/spreadsheets/d/19vJNZY_5yjcGF2XGBMNZRCAIB0Kwfpjp8YEOfu-bneM/edit?usp=sharing"",""งานกองทุน!P21"")"),1883344.36)</f>
        <v>1883344.36</v>
      </c>
      <c r="K825" s="466">
        <f t="shared" ca="1" si="336"/>
        <v>32.684219623466738</v>
      </c>
      <c r="L825" s="466"/>
      <c r="M825" s="466"/>
      <c r="N825" s="466"/>
      <c r="O825" s="466"/>
      <c r="P825" s="466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1"/>
      <c r="B826" s="730"/>
      <c r="C826" s="730"/>
      <c r="D826" s="539"/>
      <c r="E826" s="730"/>
      <c r="F826" s="730"/>
      <c r="G826" s="189"/>
      <c r="H826" s="590" t="s">
        <v>35</v>
      </c>
      <c r="I826" s="270">
        <f ca="1">IFERROR(__xludf.DUMMYFUNCTION("IMPORTRANGE(""https://docs.google.com/spreadsheets/d/19vJNZY_5yjcGF2XGBMNZRCAIB0Kwfpjp8YEOfu-bneM/edit?usp=sharing"",""งานกองทุน!M21"")"),468)</f>
        <v>468</v>
      </c>
      <c r="J826" s="270">
        <f ca="1">IFERROR(__xludf.DUMMYFUNCTION("IMPORTRANGE(""https://docs.google.com/spreadsheets/d/19vJNZY_5yjcGF2XGBMNZRCAIB0Kwfpjp8YEOfu-bneM/edit?usp=sharing"",""งานกองทุน!O21"")"),176)</f>
        <v>176</v>
      </c>
      <c r="K826" s="466">
        <f t="shared" ca="1" si="336"/>
        <v>37.606837606837608</v>
      </c>
      <c r="L826" s="466"/>
      <c r="M826" s="466"/>
      <c r="N826" s="466"/>
      <c r="O826" s="466"/>
      <c r="P826" s="466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1"/>
      <c r="B827" s="730" t="s">
        <v>328</v>
      </c>
      <c r="C827" s="730"/>
      <c r="D827" s="539"/>
      <c r="E827" s="730"/>
      <c r="F827" s="730"/>
      <c r="G827" s="189"/>
      <c r="H827" s="590" t="s">
        <v>12</v>
      </c>
      <c r="I827" s="270">
        <f ca="1">IFERROR(__xludf.DUMMYFUNCTION("IMPORTRANGE(""https://docs.google.com/spreadsheets/d/19vJNZY_5yjcGF2XGBMNZRCAIB0Kwfpjp8YEOfu-bneM/edit?usp=sharing"",""งานกองทุน!S21"")"),2600000)</f>
        <v>2600000</v>
      </c>
      <c r="J827" s="270">
        <f ca="1">IFERROR(__xludf.DUMMYFUNCTION("IMPORTRANGE(""https://docs.google.com/spreadsheets/d/19vJNZY_5yjcGF2XGBMNZRCAIB0Kwfpjp8YEOfu-bneM/edit?usp=sharing"",""งานกองทุน!U21"")"),700000)</f>
        <v>700000</v>
      </c>
      <c r="K827" s="466">
        <f t="shared" ca="1" si="336"/>
        <v>26.923076923076923</v>
      </c>
      <c r="L827" s="466"/>
      <c r="M827" s="466"/>
      <c r="N827" s="466"/>
      <c r="O827" s="466"/>
      <c r="P827" s="466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69">
        <f ca="1">IFERROR(__xludf.DUMMYFUNCTION("IMPORTRANGE(""https://docs.google.com/spreadsheets/d/19vJNZY_5yjcGF2XGBMNZRCAIB0Kwfpjp8YEOfu-bneM/edit?usp=sharing"",""งานกองทุน!R21"")"),104)</f>
        <v>104</v>
      </c>
      <c r="J828" s="469">
        <f ca="1">IFERROR(__xludf.DUMMYFUNCTION("IMPORTRANGE(""https://docs.google.com/spreadsheets/d/19vJNZY_5yjcGF2XGBMNZRCAIB0Kwfpjp8YEOfu-bneM/edit?usp=sharing"",""งานกองทุน!T21"")"),29)</f>
        <v>29</v>
      </c>
      <c r="K828" s="470">
        <f t="shared" ca="1" si="336"/>
        <v>27.884615384615383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36</vt:i4>
      </vt:variant>
    </vt:vector>
  </HeadingPairs>
  <TitlesOfParts>
    <vt:vector size="54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กำแพงเพชร!Print_Area</vt:lpstr>
      <vt:lpstr>เชียงราย!Print_Area</vt:lpstr>
      <vt:lpstr>เชียงใหม่!Print_Area</vt:lpstr>
      <vt:lpstr>ตาก!Print_Area</vt:lpstr>
      <vt:lpstr>นครสวรรค์!Print_Area</vt:lpstr>
      <vt:lpstr>น่าน!Print_Area</vt:lpstr>
      <vt:lpstr>พะเยา!Print_Area</vt:lpstr>
      <vt:lpstr>พิจิตร!Print_Area</vt:lpstr>
      <vt:lpstr>พิษณุโลก!Print_Area</vt:lpstr>
      <vt:lpstr>เพชรบูรณ์!Print_Area</vt:lpstr>
      <vt:lpstr>แพร่!Print_Area</vt:lpstr>
      <vt:lpstr>แม่ฮ่องสอน!Print_Area</vt:lpstr>
      <vt:lpstr>รวมเหนือ!Print_Area</vt:lpstr>
      <vt:lpstr>ลำปาง!Print_Area</vt:lpstr>
      <vt:lpstr>ลำพูน!Print_Area</vt:lpstr>
      <vt:lpstr>สุโขทัย!Print_Area</vt:lpstr>
      <vt:lpstr>อุตรดิตถ์!Print_Area</vt:lpstr>
      <vt:lpstr>อุทัยธานี!Print_Area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2023-03-09T03:54:10Z</dcterms:modified>
</cp:coreProperties>
</file>